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976a682ac81169b8/Desktop/"/>
    </mc:Choice>
  </mc:AlternateContent>
  <xr:revisionPtr revIDLastSave="81" documentId="11_4DBFB4B89C3C896B84594230327E7B7179C31214" xr6:coauthVersionLast="47" xr6:coauthVersionMax="47" xr10:uidLastSave="{E3E951A4-0670-4F26-93DE-B8FB455DC6AA}"/>
  <workbookProtection workbookPassword="C6E5" lockStructure="1"/>
  <bookViews>
    <workbookView xWindow="-108" yWindow="-108" windowWidth="23256" windowHeight="12456" xr2:uid="{00000000-000D-0000-FFFF-FFFF00000000}"/>
  </bookViews>
  <sheets>
    <sheet name="INSTRUCTIONS" sheetId="1" r:id="rId1"/>
    <sheet name="calculation" sheetId="2" r:id="rId2"/>
    <sheet name="Table A" sheetId="3" r:id="rId3"/>
    <sheet name="Annx I" sheetId="4" r:id="rId4"/>
    <sheet name="Form 10E" sheetId="5" r:id="rId5"/>
    <sheet name="___relief BACK" sheetId="6" state="hidden" r:id="rId6"/>
    <sheet name="___Gr_ salary" sheetId="7" state="hidden" r:id="rId7"/>
    <sheet name="___IT calc" sheetId="8" state="hidden" r:id="rId8"/>
  </sheets>
  <definedNames>
    <definedName name="_xlnm.Print_Area" localSheetId="3">'Annx I'!$A$3:$H$22</definedName>
    <definedName name="_xlnm.Print_Area" localSheetId="1">calculation!$A$4:$T$34</definedName>
    <definedName name="_xlnm.Print_Area" localSheetId="4">'Form 10E'!$A$4:$E$26</definedName>
    <definedName name="_xlnm.Print_Area" localSheetId="2">'Table A'!$A$1:$G$29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3" l="1"/>
  <c r="B22" i="3"/>
  <c r="C21" i="3"/>
  <c r="B21" i="3"/>
  <c r="D21" i="3" s="1"/>
  <c r="D26" i="2"/>
  <c r="C11" i="2"/>
  <c r="D14" i="2"/>
  <c r="D25" i="2" s="1"/>
  <c r="C20" i="3"/>
  <c r="B20" i="3"/>
  <c r="D20" i="3" s="1"/>
  <c r="E26" i="2"/>
  <c r="E14" i="2"/>
  <c r="E25" i="2" s="1"/>
  <c r="D22" i="3" l="1"/>
  <c r="D27" i="2"/>
  <c r="D59" i="2" s="1"/>
  <c r="D16" i="2"/>
  <c r="E27" i="2"/>
  <c r="E59" i="2" s="1"/>
  <c r="E16" i="2"/>
  <c r="E50" i="2" s="1"/>
  <c r="E17" i="2" s="1"/>
  <c r="E58" i="2"/>
  <c r="E57" i="2"/>
  <c r="E56" i="2"/>
  <c r="E28" i="2" s="1"/>
  <c r="E29" i="2"/>
  <c r="E53" i="2"/>
  <c r="E52" i="2"/>
  <c r="E51" i="2"/>
  <c r="E18" i="2"/>
  <c r="C14" i="2"/>
  <c r="G14" i="2"/>
  <c r="F26" i="2"/>
  <c r="F14" i="2"/>
  <c r="F25" i="2" s="1"/>
  <c r="D57" i="2" l="1"/>
  <c r="D29" i="2"/>
  <c r="D56" i="2"/>
  <c r="D28" i="2" s="1"/>
  <c r="D30" i="2" s="1"/>
  <c r="D58" i="2"/>
  <c r="D18" i="2"/>
  <c r="D53" i="2"/>
  <c r="D51" i="2"/>
  <c r="D50" i="2"/>
  <c r="D17" i="2" s="1"/>
  <c r="D19" i="2" s="1"/>
  <c r="D52" i="2"/>
  <c r="E30" i="2"/>
  <c r="E19" i="2"/>
  <c r="F16" i="2"/>
  <c r="F50" i="2" s="1"/>
  <c r="F17" i="2" s="1"/>
  <c r="F27" i="2"/>
  <c r="F57" i="2" s="1"/>
  <c r="G26" i="2"/>
  <c r="D31" i="2" l="1"/>
  <c r="D32" i="2" s="1"/>
  <c r="F22" i="3" s="1"/>
  <c r="D20" i="2"/>
  <c r="D21" i="2" s="1"/>
  <c r="E22" i="3" s="1"/>
  <c r="F18" i="2"/>
  <c r="F19" i="2" s="1"/>
  <c r="F20" i="2" s="1"/>
  <c r="F21" i="2" s="1"/>
  <c r="E20" i="3" s="1"/>
  <c r="F58" i="2"/>
  <c r="F51" i="2"/>
  <c r="F52" i="2"/>
  <c r="E31" i="2"/>
  <c r="E32" i="2" s="1"/>
  <c r="F21" i="3" s="1"/>
  <c r="G21" i="3" s="1"/>
  <c r="E20" i="2"/>
  <c r="E21" i="2" s="1"/>
  <c r="E21" i="3" s="1"/>
  <c r="F56" i="2"/>
  <c r="F28" i="2" s="1"/>
  <c r="F29" i="2"/>
  <c r="C19" i="3"/>
  <c r="B19" i="3"/>
  <c r="C15" i="2"/>
  <c r="G25" i="2"/>
  <c r="G27" i="2" s="1"/>
  <c r="H14" i="2"/>
  <c r="H16" i="2" s="1"/>
  <c r="C18" i="3"/>
  <c r="B18" i="3"/>
  <c r="H26" i="2"/>
  <c r="C16" i="3"/>
  <c r="C17" i="3"/>
  <c r="B17" i="3"/>
  <c r="B16" i="3"/>
  <c r="I26" i="2"/>
  <c r="I14" i="2"/>
  <c r="I25" i="2" s="1"/>
  <c r="H8" i="4"/>
  <c r="H86" i="4" s="1"/>
  <c r="H87" i="4" s="1"/>
  <c r="J26" i="2"/>
  <c r="J14" i="2"/>
  <c r="J25" i="2" s="1"/>
  <c r="C15" i="3"/>
  <c r="B15" i="3"/>
  <c r="K26" i="2"/>
  <c r="K14" i="2"/>
  <c r="K16" i="2" s="1"/>
  <c r="B14" i="3"/>
  <c r="C13" i="3"/>
  <c r="B13" i="3"/>
  <c r="M26" i="2"/>
  <c r="M14" i="2"/>
  <c r="M25" i="2" s="1"/>
  <c r="N26" i="2"/>
  <c r="C12" i="3" s="1"/>
  <c r="N14" i="2"/>
  <c r="N25" i="2" s="1"/>
  <c r="L14" i="2"/>
  <c r="L25" i="2" s="1"/>
  <c r="G21" i="4"/>
  <c r="O14" i="2"/>
  <c r="O16" i="2" s="1"/>
  <c r="P14" i="2"/>
  <c r="P25" i="2" s="1"/>
  <c r="P26" i="2"/>
  <c r="Q14" i="2"/>
  <c r="Q16" i="2" s="1"/>
  <c r="R14" i="2"/>
  <c r="R25" i="2" s="1"/>
  <c r="R26" i="2"/>
  <c r="C8" i="3" s="1"/>
  <c r="S14" i="2"/>
  <c r="S16" i="2" s="1"/>
  <c r="S26" i="2"/>
  <c r="C7" i="3" s="1"/>
  <c r="T14" i="2"/>
  <c r="T25" i="2" s="1"/>
  <c r="T26" i="2"/>
  <c r="C6" i="3" s="1"/>
  <c r="O26" i="2"/>
  <c r="Q26" i="2"/>
  <c r="C9" i="3" s="1"/>
  <c r="C7" i="5"/>
  <c r="C8" i="5"/>
  <c r="B19" i="5"/>
  <c r="B24" i="5"/>
  <c r="B25" i="5"/>
  <c r="C10" i="3"/>
  <c r="B11" i="3"/>
  <c r="C11" i="3"/>
  <c r="E27" i="3"/>
  <c r="E28" i="3"/>
  <c r="C14" i="3"/>
  <c r="L26" i="2"/>
  <c r="M16" i="2" l="1"/>
  <c r="M50" i="2" s="1"/>
  <c r="M17" i="2" s="1"/>
  <c r="M19" i="2" s="1"/>
  <c r="M20" i="2" s="1"/>
  <c r="M21" i="2" s="1"/>
  <c r="E13" i="3" s="1"/>
  <c r="F30" i="2"/>
  <c r="F31" i="2" s="1"/>
  <c r="F32" i="2" s="1"/>
  <c r="F20" i="3" s="1"/>
  <c r="L16" i="2"/>
  <c r="L50" i="2" s="1"/>
  <c r="L17" i="2" s="1"/>
  <c r="L19" i="2" s="1"/>
  <c r="K25" i="2"/>
  <c r="O25" i="2"/>
  <c r="O27" i="2" s="1"/>
  <c r="H25" i="2"/>
  <c r="G20" i="3"/>
  <c r="G22" i="3"/>
  <c r="C23" i="3"/>
  <c r="D11" i="3"/>
  <c r="J27" i="2"/>
  <c r="J56" i="2" s="1"/>
  <c r="H27" i="2"/>
  <c r="H58" i="2" s="1"/>
  <c r="R16" i="2"/>
  <c r="R50" i="2" s="1"/>
  <c r="R17" i="2" s="1"/>
  <c r="S25" i="2"/>
  <c r="S27" i="2" s="1"/>
  <c r="S56" i="2" s="1"/>
  <c r="S28" i="2" s="1"/>
  <c r="U26" i="2"/>
  <c r="T16" i="2"/>
  <c r="T51" i="2" s="1"/>
  <c r="J16" i="2"/>
  <c r="P27" i="2"/>
  <c r="P58" i="2" s="1"/>
  <c r="P16" i="2"/>
  <c r="P50" i="2" s="1"/>
  <c r="P17" i="2" s="1"/>
  <c r="P19" i="2" s="1"/>
  <c r="P20" i="2" s="1"/>
  <c r="P21" i="2" s="1"/>
  <c r="E10" i="3" s="1"/>
  <c r="S52" i="2"/>
  <c r="S18" i="2"/>
  <c r="L52" i="2"/>
  <c r="L51" i="2"/>
  <c r="T27" i="2"/>
  <c r="T58" i="2" s="1"/>
  <c r="R27" i="2"/>
  <c r="R57" i="2" s="1"/>
  <c r="I27" i="2"/>
  <c r="I58" i="2" s="1"/>
  <c r="T56" i="2"/>
  <c r="T28" i="2" s="1"/>
  <c r="B6" i="3"/>
  <c r="S50" i="2"/>
  <c r="S17" i="2" s="1"/>
  <c r="S19" i="2" s="1"/>
  <c r="S51" i="2"/>
  <c r="B8" i="3"/>
  <c r="D8" i="3" s="1"/>
  <c r="R51" i="2"/>
  <c r="Q51" i="2"/>
  <c r="Q50" i="2"/>
  <c r="Q17" i="2" s="1"/>
  <c r="Q18" i="2"/>
  <c r="Q52" i="2"/>
  <c r="Q25" i="2"/>
  <c r="Q27" i="2" s="1"/>
  <c r="P51" i="2"/>
  <c r="P52" i="2"/>
  <c r="B10" i="3"/>
  <c r="D10" i="3" s="1"/>
  <c r="O52" i="2"/>
  <c r="O50" i="2"/>
  <c r="O17" i="2" s="1"/>
  <c r="O19" i="2" s="1"/>
  <c r="O51" i="2"/>
  <c r="O57" i="2"/>
  <c r="O56" i="2"/>
  <c r="O28" i="2" s="1"/>
  <c r="O30" i="2" s="1"/>
  <c r="O58" i="2"/>
  <c r="B12" i="3"/>
  <c r="D12" i="3" s="1"/>
  <c r="N27" i="2"/>
  <c r="N56" i="2" s="1"/>
  <c r="N28" i="2" s="1"/>
  <c r="N30" i="2" s="1"/>
  <c r="N16" i="2"/>
  <c r="M27" i="2"/>
  <c r="M56" i="2" s="1"/>
  <c r="M28" i="2" s="1"/>
  <c r="M30" i="2" s="1"/>
  <c r="L20" i="2"/>
  <c r="L21" i="2" s="1"/>
  <c r="E14" i="3" s="1"/>
  <c r="L27" i="2"/>
  <c r="L58" i="2" s="1"/>
  <c r="K51" i="2"/>
  <c r="K52" i="2"/>
  <c r="K50" i="2"/>
  <c r="K17" i="2" s="1"/>
  <c r="K19" i="2" s="1"/>
  <c r="K27" i="2"/>
  <c r="K58" i="2" s="1"/>
  <c r="I16" i="2"/>
  <c r="H51" i="2"/>
  <c r="H50" i="2"/>
  <c r="H52" i="2"/>
  <c r="D13" i="3"/>
  <c r="D19" i="3"/>
  <c r="D14" i="3"/>
  <c r="D15" i="3"/>
  <c r="D17" i="3"/>
  <c r="D16" i="3"/>
  <c r="G16" i="2"/>
  <c r="C25" i="2"/>
  <c r="C27" i="2" s="1"/>
  <c r="E11" i="5"/>
  <c r="D18" i="3"/>
  <c r="J58" i="2"/>
  <c r="M57" i="2"/>
  <c r="L56" i="2"/>
  <c r="L28" i="2" s="1"/>
  <c r="L30" i="2" s="1"/>
  <c r="H9" i="4"/>
  <c r="H10" i="4" s="1"/>
  <c r="C16" i="2"/>
  <c r="G56" i="2"/>
  <c r="G57" i="2"/>
  <c r="G58" i="2"/>
  <c r="H88" i="4"/>
  <c r="H89" i="4" s="1"/>
  <c r="J57" i="2" l="1"/>
  <c r="M51" i="2"/>
  <c r="N57" i="2"/>
  <c r="I57" i="2"/>
  <c r="M52" i="2"/>
  <c r="P56" i="2"/>
  <c r="P28" i="2" s="1"/>
  <c r="P30" i="2" s="1"/>
  <c r="P31" i="2" s="1"/>
  <c r="P32" i="2" s="1"/>
  <c r="F10" i="3" s="1"/>
  <c r="G10" i="3" s="1"/>
  <c r="P57" i="2"/>
  <c r="S29" i="2"/>
  <c r="S30" i="2" s="1"/>
  <c r="S31" i="2" s="1"/>
  <c r="S32" i="2" s="1"/>
  <c r="F7" i="3" s="1"/>
  <c r="L57" i="2"/>
  <c r="C53" i="2"/>
  <c r="C59" i="2"/>
  <c r="D6" i="3"/>
  <c r="G28" i="2"/>
  <c r="G29" i="2" s="1"/>
  <c r="G30" i="2" s="1"/>
  <c r="G31" i="2" s="1"/>
  <c r="G32" i="2" s="1"/>
  <c r="F19" i="3" s="1"/>
  <c r="K56" i="2"/>
  <c r="K28" i="2" s="1"/>
  <c r="K30" i="2" s="1"/>
  <c r="K31" i="2" s="1"/>
  <c r="K32" i="2" s="1"/>
  <c r="F15" i="3" s="1"/>
  <c r="T52" i="2"/>
  <c r="J28" i="2"/>
  <c r="J30" i="2" s="1"/>
  <c r="J31" i="2" s="1"/>
  <c r="J32" i="2" s="1"/>
  <c r="F16" i="3" s="1"/>
  <c r="H17" i="2"/>
  <c r="H19" i="2" s="1"/>
  <c r="H20" i="2" s="1"/>
  <c r="H21" i="2" s="1"/>
  <c r="E18" i="3" s="1"/>
  <c r="G50" i="2"/>
  <c r="G18" i="2"/>
  <c r="H57" i="2"/>
  <c r="H56" i="2"/>
  <c r="H28" i="2" s="1"/>
  <c r="H30" i="2" s="1"/>
  <c r="H31" i="2" s="1"/>
  <c r="H32" i="2" s="1"/>
  <c r="F18" i="3" s="1"/>
  <c r="R29" i="2"/>
  <c r="T57" i="2"/>
  <c r="R58" i="2"/>
  <c r="R56" i="2"/>
  <c r="R28" i="2" s="1"/>
  <c r="T29" i="2"/>
  <c r="T30" i="2" s="1"/>
  <c r="T31" i="2" s="1"/>
  <c r="T32" i="2" s="1"/>
  <c r="F6" i="3" s="1"/>
  <c r="J51" i="2"/>
  <c r="J52" i="2"/>
  <c r="J50" i="2"/>
  <c r="M58" i="2"/>
  <c r="N58" i="2"/>
  <c r="T50" i="2"/>
  <c r="T17" i="2" s="1"/>
  <c r="T19" i="2" s="1"/>
  <c r="T20" i="2" s="1"/>
  <c r="T21" i="2" s="1"/>
  <c r="E6" i="3" s="1"/>
  <c r="T18" i="2"/>
  <c r="S58" i="2"/>
  <c r="B7" i="3"/>
  <c r="D7" i="3" s="1"/>
  <c r="S57" i="2"/>
  <c r="R18" i="2"/>
  <c r="R19" i="2" s="1"/>
  <c r="R52" i="2"/>
  <c r="K57" i="2"/>
  <c r="I56" i="2"/>
  <c r="I28" i="2" s="1"/>
  <c r="I30" i="2" s="1"/>
  <c r="I31" i="2" s="1"/>
  <c r="I32" i="2" s="1"/>
  <c r="F17" i="3" s="1"/>
  <c r="S20" i="2"/>
  <c r="S21" i="2" s="1"/>
  <c r="E7" i="3" s="1"/>
  <c r="R30" i="2"/>
  <c r="Q57" i="2"/>
  <c r="B9" i="3"/>
  <c r="D9" i="3" s="1"/>
  <c r="Q29" i="2"/>
  <c r="Q56" i="2"/>
  <c r="Q28" i="2" s="1"/>
  <c r="Q58" i="2"/>
  <c r="Q19" i="2"/>
  <c r="O20" i="2"/>
  <c r="O21" i="2" s="1"/>
  <c r="E11" i="3" s="1"/>
  <c r="O31" i="2"/>
  <c r="O32" i="2" s="1"/>
  <c r="F11" i="3" s="1"/>
  <c r="N50" i="2"/>
  <c r="N17" i="2" s="1"/>
  <c r="N19" i="2" s="1"/>
  <c r="N52" i="2"/>
  <c r="N51" i="2"/>
  <c r="N31" i="2"/>
  <c r="N32" i="2" s="1"/>
  <c r="F12" i="3" s="1"/>
  <c r="K20" i="2"/>
  <c r="K21" i="2" s="1"/>
  <c r="E15" i="3" s="1"/>
  <c r="I50" i="2"/>
  <c r="I17" i="2" s="1"/>
  <c r="I19" i="2" s="1"/>
  <c r="I51" i="2"/>
  <c r="I52" i="2"/>
  <c r="G51" i="2"/>
  <c r="G52" i="2"/>
  <c r="C56" i="2"/>
  <c r="C57" i="2"/>
  <c r="C58" i="2"/>
  <c r="M31" i="2"/>
  <c r="M32" i="2" s="1"/>
  <c r="F13" i="3" s="1"/>
  <c r="G13" i="3" s="1"/>
  <c r="L31" i="2"/>
  <c r="L32" i="2" s="1"/>
  <c r="F14" i="3" s="1"/>
  <c r="C50" i="2"/>
  <c r="C51" i="2"/>
  <c r="C52" i="2"/>
  <c r="C28" i="2" l="1"/>
  <c r="C29" i="2" s="1"/>
  <c r="C17" i="2"/>
  <c r="G17" i="2"/>
  <c r="G19" i="2" s="1"/>
  <c r="G20" i="2" s="1"/>
  <c r="G21" i="2" s="1"/>
  <c r="E19" i="3" s="1"/>
  <c r="G19" i="3" s="1"/>
  <c r="B23" i="3"/>
  <c r="D23" i="3"/>
  <c r="G6" i="3"/>
  <c r="C18" i="2"/>
  <c r="J17" i="2"/>
  <c r="J19" i="2" s="1"/>
  <c r="J20" i="2" s="1"/>
  <c r="J21" i="2" s="1"/>
  <c r="E16" i="3" s="1"/>
  <c r="G16" i="3" s="1"/>
  <c r="R20" i="2"/>
  <c r="R21" i="2" s="1"/>
  <c r="E8" i="3" s="1"/>
  <c r="Q30" i="2"/>
  <c r="Q31" i="2" s="1"/>
  <c r="Q32" i="2" s="1"/>
  <c r="G7" i="3"/>
  <c r="G11" i="3"/>
  <c r="R31" i="2"/>
  <c r="R32" i="2" s="1"/>
  <c r="F8" i="3" s="1"/>
  <c r="Q20" i="2"/>
  <c r="Q21" i="2" s="1"/>
  <c r="N20" i="2"/>
  <c r="N21" i="2" s="1"/>
  <c r="E12" i="3" s="1"/>
  <c r="G12" i="3" s="1"/>
  <c r="G15" i="3"/>
  <c r="I20" i="2"/>
  <c r="I21" i="2" s="1"/>
  <c r="E17" i="3" s="1"/>
  <c r="G17" i="3" s="1"/>
  <c r="G18" i="3"/>
  <c r="G14" i="3"/>
  <c r="C30" i="2" l="1"/>
  <c r="C31" i="2" s="1"/>
  <c r="C32" i="2" s="1"/>
  <c r="H12" i="4" s="1"/>
  <c r="C19" i="2"/>
  <c r="C20" i="2" s="1"/>
  <c r="C21" i="2" s="1"/>
  <c r="H11" i="4" s="1"/>
  <c r="G8" i="3"/>
  <c r="E9" i="3"/>
  <c r="E23" i="3" s="1"/>
  <c r="X21" i="2"/>
  <c r="F9" i="3"/>
  <c r="F23" i="3" s="1"/>
  <c r="X32" i="2"/>
  <c r="T22" i="2" l="1"/>
  <c r="T33" i="2"/>
  <c r="H13" i="4"/>
  <c r="G9" i="3"/>
  <c r="T34" i="2" l="1"/>
  <c r="G23" i="3"/>
  <c r="H14" i="4" s="1"/>
  <c r="H15" i="4" l="1"/>
  <c r="C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User</author>
  </authors>
  <commentList>
    <comment ref="T7" authorId="0" shapeId="0" xr:uid="{00000000-0006-0000-0100-000001000000}">
      <text>
        <r>
          <rPr>
            <sz val="12"/>
            <rFont val="Times New Roman"/>
            <family val="1"/>
          </rPr>
          <t>raj:
Fill M for male and F for female and S for Sr Citizen</t>
        </r>
      </text>
    </comment>
    <comment ref="C11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 xml:space="preserve">Simple Tax India 
The Arrears related to Fy 22-23
 is not treated as arrears as per income tax act(same year income) and should be included in above cell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 pc</author>
  </authors>
  <commentList>
    <comment ref="C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my pc:</t>
        </r>
        <r>
          <rPr>
            <sz val="9"/>
            <color indexed="81"/>
            <rFont val="Tahoma"/>
            <family val="2"/>
          </rPr>
          <t xml:space="preserve">
FILL NAME IN CALCULATION SHEET
</t>
        </r>
      </text>
    </comment>
    <comment ref="C8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my pc:</t>
        </r>
        <r>
          <rPr>
            <sz val="9"/>
            <color indexed="81"/>
            <rFont val="Tahoma"/>
            <family val="2"/>
          </rPr>
          <t xml:space="preserve">
FILL PAN IN CALCULATION SHEET
</t>
        </r>
      </text>
    </comment>
  </commentList>
</comments>
</file>

<file path=xl/sharedStrings.xml><?xml version="1.0" encoding="utf-8"?>
<sst xmlns="http://schemas.openxmlformats.org/spreadsheetml/2006/main" count="276" uniqueCount="180">
  <si>
    <t>WWW.SIMPLETAXINDIA.NET</t>
  </si>
  <si>
    <t>REPORT ERROR:GUPTARAJIN2002@YAHOO.CO.IN</t>
  </si>
  <si>
    <t>Fill Total Income excluding arrears ,including all other income and after all the deduction like section 80C,80CC,80D,80G ...........80U etc.</t>
  </si>
  <si>
    <t>Nothing to fill here ,result is out ,if total A &gt;Total B then relief under section 89(1) will be shown ,otherwise 0 will be shown .Further Form 10E with relevant annexure will also be filled automatically including table-1</t>
  </si>
  <si>
    <t>Fill yellow cells only</t>
  </si>
  <si>
    <t>Note</t>
  </si>
  <si>
    <t>office/Department</t>
  </si>
  <si>
    <t>PAN</t>
  </si>
  <si>
    <t>M</t>
  </si>
  <si>
    <t>Calculation of Relief under section 89(1)</t>
  </si>
  <si>
    <t>2011-12</t>
  </si>
  <si>
    <t>2010-11</t>
  </si>
  <si>
    <t>2009-10</t>
  </si>
  <si>
    <t>2008-09</t>
  </si>
  <si>
    <t>2007-08</t>
  </si>
  <si>
    <t>2006-07</t>
  </si>
  <si>
    <t>2005-06</t>
  </si>
  <si>
    <t>S</t>
  </si>
  <si>
    <t>Total Income as per Income tax returns excluding arrears</t>
  </si>
  <si>
    <t>F</t>
  </si>
  <si>
    <t xml:space="preserve"> Arrears of salary</t>
  </si>
  <si>
    <t>TAX ON RECEIPT BASIS</t>
  </si>
  <si>
    <t>Add: Arrears of salary</t>
  </si>
  <si>
    <t>Total Income</t>
  </si>
  <si>
    <t>Tax on total income</t>
  </si>
  <si>
    <t>Add - Surcharge</t>
  </si>
  <si>
    <t>Tax with Surcharge</t>
  </si>
  <si>
    <t>Add - Education cess</t>
  </si>
  <si>
    <t>Total tax</t>
  </si>
  <si>
    <t>TOTAL TAX (A)</t>
  </si>
  <si>
    <t>TAX ON ACCRUAL BASIS</t>
  </si>
  <si>
    <t>Financial year</t>
  </si>
  <si>
    <t>Total Tax (B)</t>
  </si>
  <si>
    <t>Relief U/S 89(1)</t>
  </si>
  <si>
    <t>Total tax (A)- Total Tax (B)</t>
  </si>
  <si>
    <t>Male</t>
  </si>
  <si>
    <t>female</t>
  </si>
  <si>
    <t>sr citizen</t>
  </si>
  <si>
    <t>TABLE "A"</t>
  </si>
  <si>
    <t>[See item 7 of Annexure 1]</t>
  </si>
  <si>
    <t>Previous year</t>
  </si>
  <si>
    <t>Total income of the relevent previous year(Rs.)</t>
  </si>
  <si>
    <t>Salary received in arrears or advance relating to the relevent previous year as mentioned in column (1) (Rs.)</t>
  </si>
  <si>
    <t>Total income (as increased by salary received in arrears or advance) of the relevent previous year mentioned in column (1) (Rs.)</t>
  </si>
  <si>
    <t>Tax on total income [as per column (2)-After Rebate and including Edn Cess and Surcharge] (Rs.)</t>
  </si>
  <si>
    <t>Tax on total income[as per column (4) After Rebate and including Edn Cess and Surcharge] (Rs.)</t>
  </si>
  <si>
    <t>Difference in tax [Amount under column (6) minus amount under column  (5)] (Rs.)</t>
  </si>
  <si>
    <t>(1)</t>
  </si>
  <si>
    <t>(2)</t>
  </si>
  <si>
    <t>(3)</t>
  </si>
  <si>
    <t>(4)</t>
  </si>
  <si>
    <t>(5)</t>
  </si>
  <si>
    <t>(6)</t>
  </si>
  <si>
    <t>(7)</t>
  </si>
  <si>
    <t>TOTAL</t>
  </si>
  <si>
    <t>Signature:</t>
  </si>
  <si>
    <t>Name:</t>
  </si>
  <si>
    <t>Place:</t>
  </si>
  <si>
    <t>Dept:</t>
  </si>
  <si>
    <t>Date:</t>
  </si>
  <si>
    <t>ANNEXURE-I</t>
  </si>
  <si>
    <t>[See item 2 of Form No.10E]</t>
  </si>
  <si>
    <t>Arrears or advance salary</t>
  </si>
  <si>
    <t>Sl No.</t>
  </si>
  <si>
    <t>Particulars</t>
  </si>
  <si>
    <t>Amount (Rs.)</t>
  </si>
  <si>
    <t>Total income (excluding salary received in arrears or advance)</t>
  </si>
  <si>
    <t>Salary received in arrears or advance</t>
  </si>
  <si>
    <t>Total income (as increased by salary received in arrears or advance) [Add item 1 and item 2]</t>
  </si>
  <si>
    <t>Tax on total income [as per item 3]</t>
  </si>
  <si>
    <t>Tax on total income [as per item 1]</t>
  </si>
  <si>
    <t>Tax on salary received in arrears or advance [Difference of item 4 and item 5]</t>
  </si>
  <si>
    <t>Tax computed in accordance with Table "A" [Brought from column 7 of Table A]</t>
  </si>
  <si>
    <t>Relief under Section 89(1) [Indicate difference between the amounts mentioned against item 6 and item 7]</t>
  </si>
  <si>
    <t>FORM NO.10 E</t>
  </si>
  <si>
    <t>[See rule 21AA]</t>
  </si>
  <si>
    <t>Name and address of the employee</t>
  </si>
  <si>
    <t>CUSAT, CUCEK, PULINCUNNOO - 688504</t>
  </si>
  <si>
    <t>Permanent account number</t>
  </si>
  <si>
    <t>Third</t>
  </si>
  <si>
    <t>March</t>
  </si>
  <si>
    <t>Residential status</t>
  </si>
  <si>
    <t>RESIDENT AND ORDINARILY RESIDENT</t>
  </si>
  <si>
    <t>Fourth</t>
  </si>
  <si>
    <t>April</t>
  </si>
  <si>
    <t>Fifth</t>
  </si>
  <si>
    <t>May</t>
  </si>
  <si>
    <t>1 (a)</t>
  </si>
  <si>
    <t>Salary received in arrears or in advance in accordance with the provisions of sub-rule (2) of rule 21A.</t>
  </si>
  <si>
    <t>Sixth</t>
  </si>
  <si>
    <t>June</t>
  </si>
  <si>
    <t>(b)</t>
  </si>
  <si>
    <t>Payment in the nature of gratuity in respect of past services, extending over a period of not less than 5 years in accordance with the provisions of sub-rule (3) of rule 21A.</t>
  </si>
  <si>
    <t>…Nil…</t>
  </si>
  <si>
    <t>Seventh</t>
  </si>
  <si>
    <t>July</t>
  </si>
  <si>
    <t>(c)</t>
  </si>
  <si>
    <t>Payment in the nature of compensation from the employer or former employer at or in connection with termination of employment after continuous service of not less than 3 years or where the unexpired portion of term of employment is also not less than 3 ye</t>
  </si>
  <si>
    <t>Eighth</t>
  </si>
  <si>
    <t>August</t>
  </si>
  <si>
    <t>(d)</t>
  </si>
  <si>
    <t>Payment in commutation of pension in accordance with the provisions of sub-rule (5) of rule 21A</t>
  </si>
  <si>
    <t>Ninth</t>
  </si>
  <si>
    <t>September</t>
  </si>
  <si>
    <t>Detailed particulars of payments referred to above may be given in Annexure I,II,IIA,III, or IV as the case may be.</t>
  </si>
  <si>
    <t>Eleventh</t>
  </si>
  <si>
    <t>November</t>
  </si>
  <si>
    <t>Twelfth</t>
  </si>
  <si>
    <t xml:space="preserve"> Signature of the employee</t>
  </si>
  <si>
    <t>……………………………………</t>
  </si>
  <si>
    <t>Thriteenth</t>
  </si>
  <si>
    <t>December</t>
  </si>
  <si>
    <t>Verification</t>
  </si>
  <si>
    <t>Fourteenth</t>
  </si>
  <si>
    <t>I,</t>
  </si>
  <si>
    <t>,do hereby declare that what is stated above</t>
  </si>
  <si>
    <t>Fifteenth</t>
  </si>
  <si>
    <t>is true to the best of my knowledge and belief.</t>
  </si>
  <si>
    <t>Sixteenth</t>
  </si>
  <si>
    <t>Verified today, the</t>
  </si>
  <si>
    <t>Day of</t>
  </si>
  <si>
    <t>Seventeenth</t>
  </si>
  <si>
    <t>Eighteenth</t>
  </si>
  <si>
    <t>Ninteenth</t>
  </si>
  <si>
    <t>Place: …………………….</t>
  </si>
  <si>
    <t>………………………………………</t>
  </si>
  <si>
    <t>Twentieth</t>
  </si>
  <si>
    <t>Date:……………………</t>
  </si>
  <si>
    <t xml:space="preserve">  Signature of the employee</t>
  </si>
  <si>
    <t>Twenty first</t>
  </si>
  <si>
    <t>Twenty second</t>
  </si>
  <si>
    <t>Twenty third</t>
  </si>
  <si>
    <t>Twenty fourth</t>
  </si>
  <si>
    <t>Twenty fifth</t>
  </si>
  <si>
    <t>Twenty sixth</t>
  </si>
  <si>
    <t>Twenty seventh</t>
  </si>
  <si>
    <t>Twenty eighth</t>
  </si>
  <si>
    <t>Twenty ninth</t>
  </si>
  <si>
    <t>Thirtieth</t>
  </si>
  <si>
    <t>Thirty first</t>
  </si>
  <si>
    <t>2012-13</t>
  </si>
  <si>
    <t>2013-14</t>
  </si>
  <si>
    <t>REPORT ERROR:RANIRAJ1950 AT GMAIL.COM</t>
  </si>
  <si>
    <t>Total Income excdg arrears</t>
  </si>
  <si>
    <t>2014-15</t>
  </si>
  <si>
    <t>2015-16</t>
  </si>
  <si>
    <t>2016-17</t>
  </si>
  <si>
    <t xml:space="preserve">Read more FAQ here </t>
  </si>
  <si>
    <t>REPORT ERROR:raniraj1950@gmail.com</t>
  </si>
  <si>
    <t>2017-18</t>
  </si>
  <si>
    <t>NAME &amp; DESIGNATION</t>
  </si>
  <si>
    <t>2018-19</t>
  </si>
  <si>
    <t>Download calculator for Fy 2017-18</t>
  </si>
  <si>
    <t>2019-20</t>
  </si>
  <si>
    <t>Download Calculator for Fy 2018-19</t>
  </si>
  <si>
    <t>[file 89(1) form online at Income Tax site otherwise claim will be rejected ]</t>
  </si>
  <si>
    <t>Check HERE if any updated version available.</t>
  </si>
  <si>
    <t>2020-21</t>
  </si>
  <si>
    <t>N</t>
  </si>
  <si>
    <t>M=Male,F=Female,S=Sr Citizen , N=New scheme</t>
  </si>
  <si>
    <t>New scheme</t>
  </si>
  <si>
    <t xml:space="preserve">New scheme </t>
  </si>
  <si>
    <r>
      <t xml:space="preserve">Fill </t>
    </r>
    <r>
      <rPr>
        <b/>
        <sz val="10"/>
        <color rgb="FFFF0000"/>
        <rFont val="Arial"/>
        <family val="2"/>
      </rPr>
      <t>M</t>
    </r>
    <r>
      <rPr>
        <b/>
        <sz val="10"/>
        <color indexed="8"/>
        <rFont val="Arial"/>
        <family val="2"/>
      </rPr>
      <t xml:space="preserve"> for male and</t>
    </r>
    <r>
      <rPr>
        <b/>
        <sz val="10"/>
        <color rgb="FFFF0000"/>
        <rFont val="Arial"/>
        <family val="2"/>
      </rPr>
      <t xml:space="preserve"> F</t>
    </r>
    <r>
      <rPr>
        <b/>
        <sz val="10"/>
        <color indexed="8"/>
        <rFont val="Arial"/>
        <family val="2"/>
      </rPr>
      <t xml:space="preserve"> for female and </t>
    </r>
    <r>
      <rPr>
        <b/>
        <sz val="10"/>
        <color rgb="FFFF0000"/>
        <rFont val="Arial"/>
        <family val="2"/>
      </rPr>
      <t>S</t>
    </r>
    <r>
      <rPr>
        <b/>
        <sz val="10"/>
        <color indexed="8"/>
        <rFont val="Arial"/>
        <family val="2"/>
      </rPr>
      <t xml:space="preserve"> for Sr Citizen </t>
    </r>
    <r>
      <rPr>
        <b/>
        <sz val="10"/>
        <color rgb="FFFF0000"/>
        <rFont val="Arial"/>
        <family val="2"/>
      </rPr>
      <t>N</t>
    </r>
    <r>
      <rPr>
        <b/>
        <sz val="10"/>
        <color indexed="8"/>
        <rFont val="Arial"/>
        <family val="2"/>
      </rPr>
      <t xml:space="preserve"> for New Tax regime u/s  115 BAC (calculator is not working for very senior citizen).You must select the status in each year. </t>
    </r>
    <r>
      <rPr>
        <b/>
        <sz val="10"/>
        <color indexed="36"/>
        <rFont val="Arial"/>
        <family val="2"/>
      </rPr>
      <t>Make sure that status has been selected correctly</t>
    </r>
  </si>
  <si>
    <t>Download Calculator for Fy 2019-20</t>
  </si>
  <si>
    <t>2021-22</t>
  </si>
  <si>
    <t>Please support us at UPI ID 9988800910@ybl</t>
  </si>
  <si>
    <t>Download Calculator for Fy 2020-21</t>
  </si>
  <si>
    <t>2022-23</t>
  </si>
  <si>
    <t>Form for furnishing particulars of income under section 192(2A) for the year ending 31 st March, 2023 for claiming relief under section 89(1) by a Government servant or an employee in a 2[company,co-operative society,local authority ,university, institution,association or body]</t>
  </si>
  <si>
    <t>Particulars of income referred to in rule 21A of the Income-tax Rules, 1962,during the previous year relevant to assessment year 2023-24(Rs.)</t>
  </si>
  <si>
    <t>Download Calculator for Fy 2021-22</t>
  </si>
  <si>
    <t>Version -1 Dated 11-12-2022</t>
  </si>
  <si>
    <t>Fill year wise break up of arrear received in financial year 2022-23 under respective years.Total will autometically shown under  FY 2022-23</t>
  </si>
  <si>
    <t>Only yellow cells to be filled in calculation sheet ,other sheets /cells are protected .If arrear is related to few year only then fill zero in other non required years.</t>
  </si>
  <si>
    <t>Version -1 dated 11-12-2022</t>
  </si>
  <si>
    <t xml:space="preserve">For  any query/error Send mail to raniraj1950@gmail.com or call at 9988800910 </t>
  </si>
  <si>
    <t>The calculator can be used for arreras rececived in fy 2022-23 and relates to any or all of years from fy 2005-06 to 2021-22.You are required to show data only for relevant years only ,no need to fill irrelevant years.</t>
  </si>
  <si>
    <t>PSPCL</t>
  </si>
  <si>
    <t>BHANU GUPTA</t>
  </si>
  <si>
    <t>AAAPG7777R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</si>
</sst>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;@"/>
  </numFmts>
  <fonts count="30" x14ac:knownFonts="1">
    <font>
      <sz val="10"/>
      <name val="Arial"/>
      <family val="2"/>
    </font>
    <font>
      <u/>
      <sz val="16"/>
      <color indexed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color indexed="9"/>
      <name val="Arial"/>
      <family val="2"/>
    </font>
    <font>
      <sz val="10"/>
      <name val="Times New Roman"/>
      <family val="1"/>
    </font>
    <font>
      <b/>
      <u/>
      <sz val="12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10"/>
      <color indexed="12"/>
      <name val="Arial"/>
      <family val="2"/>
    </font>
    <font>
      <b/>
      <u/>
      <sz val="10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sz val="10"/>
      <color indexed="10"/>
      <name val="Times New Roman"/>
      <family val="1"/>
    </font>
    <font>
      <b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  <font>
      <b/>
      <sz val="10"/>
      <color indexed="36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b/>
      <sz val="20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8"/>
        <bgColor indexed="58"/>
      </patternFill>
    </fill>
    <fill>
      <patternFill patternType="solid">
        <fgColor indexed="13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88">
    <xf numFmtId="0" fontId="0" fillId="0" borderId="0" xfId="0"/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0" fillId="2" borderId="0" xfId="0" applyFill="1"/>
    <xf numFmtId="0" fontId="7" fillId="0" borderId="0" xfId="0" applyFont="1"/>
    <xf numFmtId="0" fontId="5" fillId="3" borderId="1" xfId="0" applyFont="1" applyFill="1" applyBorder="1" applyAlignment="1">
      <alignment horizontal="right" wrapText="1"/>
    </xf>
    <xf numFmtId="1" fontId="5" fillId="3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/>
    </xf>
    <xf numFmtId="0" fontId="0" fillId="2" borderId="1" xfId="0" applyFill="1" applyBorder="1"/>
    <xf numFmtId="1" fontId="5" fillId="2" borderId="1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left" wrapText="1"/>
    </xf>
    <xf numFmtId="1" fontId="5" fillId="2" borderId="2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1" fontId="5" fillId="2" borderId="6" xfId="0" applyNumberFormat="1" applyFont="1" applyFill="1" applyBorder="1" applyAlignment="1">
      <alignment horizontal="right" wrapText="1"/>
    </xf>
    <xf numFmtId="1" fontId="7" fillId="0" borderId="0" xfId="0" applyNumberFormat="1" applyFont="1"/>
    <xf numFmtId="0" fontId="5" fillId="2" borderId="6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3" fontId="8" fillId="0" borderId="1" xfId="0" applyNumberFormat="1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/>
      <protection hidden="1"/>
    </xf>
    <xf numFmtId="3" fontId="12" fillId="0" borderId="1" xfId="0" applyNumberFormat="1" applyFont="1" applyBorder="1" applyAlignment="1" applyProtection="1">
      <alignment horizontal="center"/>
      <protection hidden="1"/>
    </xf>
    <xf numFmtId="0" fontId="8" fillId="0" borderId="7" xfId="0" applyFont="1" applyBorder="1"/>
    <xf numFmtId="0" fontId="8" fillId="0" borderId="0" xfId="0" applyFont="1" applyAlignment="1">
      <alignment vertical="center"/>
    </xf>
    <xf numFmtId="164" fontId="11" fillId="0" borderId="0" xfId="0" applyNumberFormat="1" applyFont="1" applyAlignment="1" applyProtection="1">
      <alignment horizontal="left"/>
      <protection hidden="1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 applyProtection="1">
      <alignment horizontal="center"/>
      <protection hidden="1"/>
    </xf>
    <xf numFmtId="0" fontId="8" fillId="0" borderId="11" xfId="0" applyFont="1" applyBorder="1" applyAlignment="1" applyProtection="1">
      <alignment horizontal="center" vertical="center" shrinkToFit="1"/>
      <protection hidden="1"/>
    </xf>
    <xf numFmtId="0" fontId="0" fillId="5" borderId="0" xfId="0" applyFill="1"/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19" fillId="5" borderId="0" xfId="0" applyFont="1" applyFill="1"/>
    <xf numFmtId="0" fontId="8" fillId="0" borderId="14" xfId="0" applyFont="1" applyBorder="1" applyAlignment="1">
      <alignment horizontal="center"/>
    </xf>
    <xf numFmtId="0" fontId="8" fillId="5" borderId="0" xfId="0" applyFont="1" applyFill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7" xfId="0" applyFont="1" applyBorder="1"/>
    <xf numFmtId="0" fontId="8" fillId="0" borderId="18" xfId="0" applyFont="1" applyBorder="1" applyAlignment="1">
      <alignment vertical="top"/>
    </xf>
    <xf numFmtId="1" fontId="8" fillId="0" borderId="19" xfId="0" applyNumberFormat="1" applyFont="1" applyBorder="1" applyAlignment="1" applyProtection="1">
      <alignment horizontal="center" vertical="center"/>
      <protection hidden="1"/>
    </xf>
    <xf numFmtId="0" fontId="8" fillId="0" borderId="14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vertical="top"/>
    </xf>
    <xf numFmtId="0" fontId="8" fillId="0" borderId="20" xfId="0" applyFont="1" applyBorder="1"/>
    <xf numFmtId="0" fontId="1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right" vertical="top"/>
    </xf>
    <xf numFmtId="1" fontId="11" fillId="0" borderId="0" xfId="0" applyNumberFormat="1" applyFont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right" wrapText="1"/>
      <protection locked="0"/>
    </xf>
    <xf numFmtId="0" fontId="11" fillId="0" borderId="0" xfId="0" applyFont="1" applyProtection="1">
      <protection locked="0"/>
    </xf>
    <xf numFmtId="0" fontId="8" fillId="0" borderId="0" xfId="0" applyFont="1" applyAlignment="1">
      <alignment horizontal="left" wrapText="1"/>
    </xf>
    <xf numFmtId="0" fontId="11" fillId="0" borderId="20" xfId="0" applyFont="1" applyBorder="1" applyProtection="1"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left"/>
      <protection hidden="1"/>
    </xf>
    <xf numFmtId="0" fontId="5" fillId="6" borderId="1" xfId="0" applyFont="1" applyFill="1" applyBorder="1" applyAlignment="1">
      <alignment horizontal="right" wrapText="1"/>
    </xf>
    <xf numFmtId="1" fontId="8" fillId="0" borderId="1" xfId="0" applyNumberFormat="1" applyFont="1" applyBorder="1" applyAlignment="1" applyProtection="1">
      <alignment horizontal="center"/>
      <protection hidden="1"/>
    </xf>
    <xf numFmtId="0" fontId="19" fillId="2" borderId="21" xfId="0" applyFont="1" applyFill="1" applyBorder="1" applyAlignment="1">
      <alignment wrapText="1"/>
    </xf>
    <xf numFmtId="1" fontId="5" fillId="4" borderId="4" xfId="0" applyNumberFormat="1" applyFont="1" applyFill="1" applyBorder="1" applyAlignment="1">
      <alignment horizontal="center" wrapText="1"/>
    </xf>
    <xf numFmtId="1" fontId="5" fillId="4" borderId="22" xfId="0" applyNumberFormat="1" applyFont="1" applyFill="1" applyBorder="1" applyAlignment="1">
      <alignment horizontal="center" wrapText="1"/>
    </xf>
    <xf numFmtId="0" fontId="5" fillId="7" borderId="22" xfId="0" applyFont="1" applyFill="1" applyBorder="1" applyAlignment="1">
      <alignment vertical="top"/>
    </xf>
    <xf numFmtId="1" fontId="5" fillId="7" borderId="22" xfId="0" applyNumberFormat="1" applyFont="1" applyFill="1" applyBorder="1" applyAlignment="1">
      <alignment vertical="top"/>
    </xf>
    <xf numFmtId="0" fontId="5" fillId="2" borderId="2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/>
    </xf>
    <xf numFmtId="0" fontId="5" fillId="8" borderId="1" xfId="0" applyFont="1" applyFill="1" applyBorder="1" applyAlignment="1">
      <alignment horizontal="right" wrapText="1"/>
    </xf>
    <xf numFmtId="1" fontId="14" fillId="2" borderId="25" xfId="0" applyNumberFormat="1" applyFont="1" applyFill="1" applyBorder="1" applyAlignment="1">
      <alignment horizontal="right" vertical="center" wrapText="1"/>
    </xf>
    <xf numFmtId="0" fontId="26" fillId="0" borderId="22" xfId="0" applyFont="1" applyBorder="1" applyAlignment="1">
      <alignment horizontal="left" vertical="top"/>
    </xf>
    <xf numFmtId="0" fontId="26" fillId="0" borderId="22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28" fillId="0" borderId="0" xfId="1" applyFont="1" applyAlignment="1" applyProtection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 applyProtection="1">
      <alignment horizontal="left"/>
      <protection hidden="1"/>
    </xf>
    <xf numFmtId="0" fontId="11" fillId="0" borderId="26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0" fontId="8" fillId="0" borderId="29" xfId="0" applyFont="1" applyBorder="1"/>
    <xf numFmtId="3" fontId="8" fillId="0" borderId="30" xfId="0" applyNumberFormat="1" applyFont="1" applyBorder="1" applyAlignment="1" applyProtection="1">
      <alignment horizontal="center"/>
      <protection hidden="1"/>
    </xf>
    <xf numFmtId="0" fontId="8" fillId="0" borderId="31" xfId="0" applyFont="1" applyBorder="1"/>
    <xf numFmtId="0" fontId="0" fillId="0" borderId="32" xfId="0" applyBorder="1"/>
    <xf numFmtId="0" fontId="8" fillId="0" borderId="33" xfId="0" applyFont="1" applyBorder="1"/>
    <xf numFmtId="0" fontId="8" fillId="0" borderId="34" xfId="0" applyFont="1" applyBorder="1"/>
    <xf numFmtId="0" fontId="8" fillId="0" borderId="35" xfId="0" applyFont="1" applyBorder="1"/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vertical="center"/>
    </xf>
    <xf numFmtId="0" fontId="8" fillId="0" borderId="38" xfId="0" applyFont="1" applyBorder="1" applyAlignment="1">
      <alignment horizontal="center" vertical="center"/>
    </xf>
    <xf numFmtId="3" fontId="8" fillId="0" borderId="39" xfId="0" applyNumberFormat="1" applyFont="1" applyBorder="1" applyAlignment="1" applyProtection="1">
      <alignment horizontal="center" vertical="center"/>
      <protection hidden="1"/>
    </xf>
    <xf numFmtId="0" fontId="8" fillId="0" borderId="29" xfId="0" applyFont="1" applyBorder="1" applyAlignment="1">
      <alignment horizontal="center" vertical="center"/>
    </xf>
    <xf numFmtId="3" fontId="8" fillId="0" borderId="30" xfId="0" applyNumberFormat="1" applyFont="1" applyBorder="1" applyAlignment="1" applyProtection="1">
      <alignment horizontal="center" vertical="center"/>
      <protection hidden="1"/>
    </xf>
    <xf numFmtId="3" fontId="8" fillId="0" borderId="30" xfId="0" applyNumberFormat="1" applyFont="1" applyBorder="1" applyAlignment="1" applyProtection="1">
      <alignment horizontal="center" vertical="center" shrinkToFit="1"/>
      <protection hidden="1"/>
    </xf>
    <xf numFmtId="0" fontId="11" fillId="0" borderId="40" xfId="0" applyFont="1" applyBorder="1" applyAlignment="1">
      <alignment horizontal="center" vertical="center"/>
    </xf>
    <xf numFmtId="3" fontId="11" fillId="0" borderId="41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/>
    </xf>
    <xf numFmtId="0" fontId="27" fillId="0" borderId="0" xfId="1" applyAlignment="1" applyProtection="1">
      <alignment horizontal="center" vertical="center"/>
    </xf>
    <xf numFmtId="0" fontId="26" fillId="0" borderId="55" xfId="0" applyFont="1" applyBorder="1" applyAlignment="1">
      <alignment horizontal="left" vertical="top"/>
    </xf>
    <xf numFmtId="0" fontId="0" fillId="0" borderId="22" xfId="0" applyBorder="1" applyAlignment="1">
      <alignment vertical="top"/>
    </xf>
    <xf numFmtId="0" fontId="5" fillId="0" borderId="22" xfId="0" applyFont="1" applyBorder="1" applyAlignment="1">
      <alignment horizontal="left" vertical="top"/>
    </xf>
    <xf numFmtId="0" fontId="27" fillId="0" borderId="22" xfId="1" applyBorder="1" applyAlignment="1" applyProtection="1">
      <alignment vertical="top"/>
    </xf>
    <xf numFmtId="0" fontId="0" fillId="0" borderId="22" xfId="0" applyBorder="1" applyAlignment="1">
      <alignment horizontal="left" vertical="top" wrapText="1"/>
    </xf>
    <xf numFmtId="0" fontId="27" fillId="0" borderId="0" xfId="1" applyAlignment="1" applyProtection="1">
      <alignment horizontal="center" wrapText="1"/>
    </xf>
    <xf numFmtId="0" fontId="11" fillId="0" borderId="32" xfId="0" applyFont="1" applyBorder="1" applyAlignment="1" applyProtection="1">
      <alignment horizontal="left"/>
      <protection hidden="1"/>
    </xf>
    <xf numFmtId="0" fontId="8" fillId="0" borderId="0" xfId="0" applyFont="1" applyAlignment="1">
      <alignment horizontal="left" vertical="center"/>
    </xf>
    <xf numFmtId="3" fontId="8" fillId="0" borderId="48" xfId="0" applyNumberFormat="1" applyFont="1" applyBorder="1" applyAlignment="1" applyProtection="1">
      <alignment horizontal="center"/>
      <protection hidden="1"/>
    </xf>
    <xf numFmtId="3" fontId="8" fillId="0" borderId="56" xfId="0" applyNumberFormat="1" applyFont="1" applyBorder="1" applyAlignment="1" applyProtection="1">
      <alignment horizontal="center"/>
      <protection hidden="1"/>
    </xf>
    <xf numFmtId="0" fontId="27" fillId="0" borderId="0" xfId="1" applyAlignment="1" applyProtection="1">
      <alignment horizontal="center"/>
    </xf>
    <xf numFmtId="0" fontId="5" fillId="9" borderId="0" xfId="0" applyFont="1" applyFill="1" applyAlignment="1">
      <alignment horizontal="center" vertical="top" wrapText="1"/>
    </xf>
    <xf numFmtId="3" fontId="8" fillId="0" borderId="57" xfId="0" applyNumberFormat="1" applyFont="1" applyBorder="1" applyAlignment="1" applyProtection="1">
      <alignment horizontal="center"/>
      <protection hidden="1"/>
    </xf>
    <xf numFmtId="0" fontId="11" fillId="0" borderId="40" xfId="0" applyFont="1" applyBorder="1" applyAlignment="1">
      <alignment horizontal="center"/>
    </xf>
    <xf numFmtId="3" fontId="11" fillId="0" borderId="50" xfId="0" applyNumberFormat="1" applyFont="1" applyBorder="1" applyAlignment="1" applyProtection="1">
      <alignment horizontal="center"/>
      <protection hidden="1"/>
    </xf>
    <xf numFmtId="3" fontId="11" fillId="0" borderId="58" xfId="0" applyNumberFormat="1" applyFont="1" applyBorder="1" applyAlignment="1" applyProtection="1">
      <alignment horizontal="center"/>
      <protection hidden="1"/>
    </xf>
    <xf numFmtId="0" fontId="1" fillId="2" borderId="22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wrapText="1"/>
    </xf>
    <xf numFmtId="0" fontId="5" fillId="2" borderId="43" xfId="0" applyFont="1" applyFill="1" applyBorder="1" applyAlignment="1">
      <alignment horizontal="center" wrapText="1"/>
    </xf>
    <xf numFmtId="0" fontId="5" fillId="2" borderId="44" xfId="0" applyFont="1" applyFill="1" applyBorder="1" applyAlignment="1">
      <alignment horizontal="center" wrapText="1"/>
    </xf>
    <xf numFmtId="0" fontId="5" fillId="2" borderId="45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46" xfId="0" applyFont="1" applyFill="1" applyBorder="1" applyAlignment="1">
      <alignment horizontal="center" wrapText="1"/>
    </xf>
    <xf numFmtId="0" fontId="5" fillId="2" borderId="47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48" xfId="0" applyFont="1" applyFill="1" applyBorder="1" applyAlignment="1">
      <alignment horizontal="center" wrapText="1"/>
    </xf>
    <xf numFmtId="0" fontId="5" fillId="2" borderId="49" xfId="0" applyFont="1" applyFill="1" applyBorder="1" applyAlignment="1">
      <alignment horizontal="center" wrapText="1"/>
    </xf>
    <xf numFmtId="0" fontId="27" fillId="2" borderId="0" xfId="1" applyNumberFormat="1" applyFill="1" applyBorder="1" applyAlignment="1" applyProtection="1">
      <alignment horizontal="center" wrapText="1"/>
    </xf>
    <xf numFmtId="0" fontId="1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2" borderId="48" xfId="0" applyFont="1" applyFill="1" applyBorder="1" applyAlignment="1">
      <alignment horizontal="left" vertical="center" textRotation="90" wrapText="1"/>
    </xf>
    <xf numFmtId="1" fontId="5" fillId="4" borderId="4" xfId="0" applyNumberFormat="1" applyFont="1" applyFill="1" applyBorder="1" applyAlignment="1">
      <alignment horizontal="left" wrapText="1"/>
    </xf>
    <xf numFmtId="1" fontId="5" fillId="4" borderId="1" xfId="0" applyNumberFormat="1" applyFont="1" applyFill="1" applyBorder="1" applyAlignment="1">
      <alignment horizontal="left" wrapText="1"/>
    </xf>
    <xf numFmtId="49" fontId="5" fillId="4" borderId="4" xfId="0" applyNumberFormat="1" applyFont="1" applyFill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left" wrapText="1"/>
    </xf>
    <xf numFmtId="49" fontId="5" fillId="4" borderId="5" xfId="0" applyNumberFormat="1" applyFont="1" applyFill="1" applyBorder="1" applyAlignment="1">
      <alignment horizontal="left" wrapText="1"/>
    </xf>
    <xf numFmtId="49" fontId="5" fillId="4" borderId="6" xfId="0" applyNumberFormat="1" applyFont="1" applyFill="1" applyBorder="1" applyAlignment="1">
      <alignment horizontal="left" wrapText="1"/>
    </xf>
    <xf numFmtId="164" fontId="11" fillId="0" borderId="0" xfId="0" applyNumberFormat="1" applyFont="1" applyAlignment="1" applyProtection="1">
      <alignment horizontal="left"/>
      <protection hidden="1"/>
    </xf>
    <xf numFmtId="0" fontId="8" fillId="0" borderId="0" xfId="0" applyFont="1" applyAlignment="1">
      <alignment horizontal="center"/>
    </xf>
    <xf numFmtId="0" fontId="13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left"/>
      <protection hidden="1"/>
    </xf>
    <xf numFmtId="0" fontId="11" fillId="0" borderId="32" xfId="0" applyFont="1" applyBorder="1" applyAlignment="1" applyProtection="1">
      <alignment horizontal="left"/>
      <protection hidden="1"/>
    </xf>
    <xf numFmtId="0" fontId="11" fillId="0" borderId="5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17" fillId="0" borderId="51" xfId="0" applyFont="1" applyBorder="1" applyAlignment="1">
      <alignment horizontal="center" vertical="center"/>
    </xf>
    <xf numFmtId="0" fontId="27" fillId="4" borderId="0" xfId="1" applyNumberFormat="1" applyFill="1" applyBorder="1" applyAlignment="1" applyProtection="1">
      <alignment horizontal="center" wrapText="1"/>
    </xf>
    <xf numFmtId="0" fontId="1" fillId="4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1" xfId="0" applyFont="1" applyBorder="1" applyAlignment="1">
      <alignment horizontal="left" wrapText="1"/>
    </xf>
    <xf numFmtId="0" fontId="8" fillId="0" borderId="0" xfId="0" applyFont="1"/>
    <xf numFmtId="0" fontId="8" fillId="0" borderId="20" xfId="0" applyFont="1" applyBorder="1" applyAlignment="1">
      <alignment horizontal="left" wrapText="1"/>
    </xf>
    <xf numFmtId="0" fontId="8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1" fillId="0" borderId="19" xfId="0" applyFont="1" applyBorder="1" applyAlignment="1" applyProtection="1">
      <alignment horizontal="center" vertical="top"/>
      <protection hidden="1"/>
    </xf>
    <xf numFmtId="49" fontId="11" fillId="0" borderId="11" xfId="0" applyNumberFormat="1" applyFont="1" applyBorder="1" applyAlignment="1" applyProtection="1">
      <alignment horizontal="center"/>
      <protection hidden="1"/>
    </xf>
    <xf numFmtId="0" fontId="11" fillId="0" borderId="52" xfId="0" applyFont="1" applyBorder="1" applyAlignment="1" applyProtection="1">
      <alignment horizontal="center"/>
      <protection hidden="1"/>
    </xf>
    <xf numFmtId="0" fontId="8" fillId="0" borderId="53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54" xfId="0" applyFont="1" applyBorder="1" applyAlignment="1">
      <alignment horizontal="center" vertical="center" wrapText="1"/>
    </xf>
    <xf numFmtId="0" fontId="27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mpletaxindia.net/2021/11/download-891-relief-calculator-free-fy-21-22-ay-22-23.html" TargetMode="External"/><Relationship Id="rId3" Type="http://schemas.openxmlformats.org/officeDocument/2006/relationships/hyperlink" Target="http://www.simpletaxindia.net/2019/01/89-1-relief-calculator-for-financial-year-2018-19.html" TargetMode="External"/><Relationship Id="rId7" Type="http://schemas.openxmlformats.org/officeDocument/2006/relationships/hyperlink" Target="https://www.simpletaxindia.net/2021/02/download-891-relief-calculator-free-fy-2020-21.html" TargetMode="External"/><Relationship Id="rId2" Type="http://schemas.openxmlformats.org/officeDocument/2006/relationships/hyperlink" Target="http://www.simpletaxindia.net/2018/01/89-1-relief-calculator-for-arrears-received-fy-2017-18.html" TargetMode="External"/><Relationship Id="rId1" Type="http://schemas.openxmlformats.org/officeDocument/2006/relationships/hyperlink" Target="http://www.simpletaxindia.net/" TargetMode="External"/><Relationship Id="rId6" Type="http://schemas.openxmlformats.org/officeDocument/2006/relationships/hyperlink" Target="https://www.simpletaxindia.net/2020/01/download-89-1-relief-calculator-free-fy-2019-20-AY-2020-21.html" TargetMode="External"/><Relationship Id="rId5" Type="http://schemas.openxmlformats.org/officeDocument/2006/relationships/hyperlink" Target="http://www.simpletaxindia.net/2019/01/taxability-on-salary-arrears-relief-section-89-1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impletaxindia.net/2019/02/income-tax-calculator-for-fy-2019-20.html" TargetMode="External"/><Relationship Id="rId9" Type="http://schemas.openxmlformats.org/officeDocument/2006/relationships/hyperlink" Target="https://www.simpletaxindia.net/2022/12/download-891-relief-calculator-free-fy-2022-23-AY-2023-24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mpletaxindia.net/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simpletaxindia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simpletaxindia.net/" TargetMode="Externa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topLeftCell="A2" workbookViewId="0">
      <selection activeCell="G8" sqref="G8"/>
    </sheetView>
  </sheetViews>
  <sheetFormatPr defaultRowHeight="13.2" x14ac:dyDescent="0.25"/>
  <cols>
    <col min="1" max="1" width="5.88671875" customWidth="1"/>
    <col min="2" max="2" width="71.44140625" customWidth="1"/>
    <col min="3" max="3" width="45.109375" customWidth="1"/>
  </cols>
  <sheetData>
    <row r="1" spans="1:7" ht="20.25" customHeight="1" x14ac:dyDescent="0.4">
      <c r="A1" s="131" t="s">
        <v>0</v>
      </c>
      <c r="B1" s="131"/>
      <c r="C1" s="1"/>
      <c r="D1" s="1"/>
      <c r="E1" s="1"/>
      <c r="F1" s="1"/>
      <c r="G1" s="1"/>
    </row>
    <row r="2" spans="1:7" ht="15.75" customHeight="1" x14ac:dyDescent="0.3">
      <c r="A2" s="132" t="s">
        <v>148</v>
      </c>
      <c r="B2" s="132"/>
      <c r="C2" s="88" t="s">
        <v>152</v>
      </c>
      <c r="D2" s="2"/>
      <c r="E2" s="2"/>
      <c r="F2" s="2"/>
      <c r="G2" s="2"/>
    </row>
    <row r="3" spans="1:7" ht="51.75" customHeight="1" x14ac:dyDescent="0.3">
      <c r="A3" s="84">
        <v>1</v>
      </c>
      <c r="B3" s="85" t="s">
        <v>173</v>
      </c>
      <c r="C3" s="114" t="s">
        <v>154</v>
      </c>
      <c r="D3" s="2"/>
      <c r="E3" s="2"/>
      <c r="F3" s="2"/>
      <c r="G3" s="2"/>
    </row>
    <row r="4" spans="1:7" ht="41.25" customHeight="1" x14ac:dyDescent="0.25">
      <c r="A4" s="83">
        <v>2</v>
      </c>
      <c r="B4" s="86" t="s">
        <v>162</v>
      </c>
      <c r="C4" s="114" t="s">
        <v>163</v>
      </c>
    </row>
    <row r="5" spans="1:7" ht="33.75" customHeight="1" x14ac:dyDescent="0.25">
      <c r="A5" s="83">
        <v>3</v>
      </c>
      <c r="B5" s="87" t="s">
        <v>2</v>
      </c>
      <c r="C5" s="125" t="s">
        <v>166</v>
      </c>
    </row>
    <row r="6" spans="1:7" ht="30" customHeight="1" x14ac:dyDescent="0.25">
      <c r="A6" s="83">
        <v>4</v>
      </c>
      <c r="B6" s="87" t="s">
        <v>172</v>
      </c>
      <c r="C6" s="125" t="s">
        <v>170</v>
      </c>
    </row>
    <row r="7" spans="1:7" ht="43.5" customHeight="1" x14ac:dyDescent="0.25">
      <c r="A7" s="83">
        <v>5</v>
      </c>
      <c r="B7" s="87" t="s">
        <v>3</v>
      </c>
    </row>
    <row r="8" spans="1:7" ht="31.5" customHeight="1" x14ac:dyDescent="0.25">
      <c r="A8" s="83">
        <v>6</v>
      </c>
      <c r="B8" s="117" t="s">
        <v>174</v>
      </c>
    </row>
    <row r="9" spans="1:7" ht="24.6" x14ac:dyDescent="0.25">
      <c r="A9" s="83">
        <v>7</v>
      </c>
      <c r="B9" s="187" t="s">
        <v>156</v>
      </c>
    </row>
    <row r="10" spans="1:7" ht="24.6" x14ac:dyDescent="0.25">
      <c r="A10" s="83">
        <v>8</v>
      </c>
      <c r="B10" s="118" t="s">
        <v>147</v>
      </c>
      <c r="C10" s="113" t="s">
        <v>171</v>
      </c>
    </row>
    <row r="11" spans="1:7" ht="24" customHeight="1" x14ac:dyDescent="0.25">
      <c r="A11" s="83">
        <v>9</v>
      </c>
      <c r="B11" s="116" t="s">
        <v>175</v>
      </c>
      <c r="C11" s="126" t="s">
        <v>165</v>
      </c>
    </row>
    <row r="12" spans="1:7" ht="41.25" customHeight="1" x14ac:dyDescent="0.25">
      <c r="A12" s="115">
        <v>10</v>
      </c>
      <c r="B12" s="119" t="s">
        <v>176</v>
      </c>
      <c r="C12" s="120" t="s">
        <v>155</v>
      </c>
    </row>
  </sheetData>
  <sheetProtection algorithmName="SHA-512" hashValue="yG7DD76bIb7YTro2eyw1D4wdmihmx8rnHFZ2aYDBEcBc7rfdcBSOy4eukOb4J0DaFkaW9tTGtk+jRb+3rHPU2A==" saltValue="aJAUxT1XK49j70I9kEHo9A==" spinCount="100000" sheet="1" objects="1" scenarios="1"/>
  <mergeCells count="2">
    <mergeCell ref="A1:B1"/>
    <mergeCell ref="A2:B2"/>
  </mergeCells>
  <phoneticPr fontId="24" type="noConversion"/>
  <hyperlinks>
    <hyperlink ref="A1" r:id="rId1" xr:uid="{00000000-0004-0000-0000-000000000000}"/>
    <hyperlink ref="C2" r:id="rId2" display="Downlaod calculator for Fy 2017-18" xr:uid="{00000000-0004-0000-0000-000004000000}"/>
    <hyperlink ref="B10" r:id="rId3" xr:uid="{00000000-0004-0000-0000-000005000000}"/>
    <hyperlink ref="C3" r:id="rId4" xr:uid="{00000000-0004-0000-0000-000006000000}"/>
    <hyperlink ref="C12" r:id="rId5" display="http://www.simpletaxindia.net/2019/01/taxability-on-salary-arrears-relief-section-89-1.html" xr:uid="{00000000-0004-0000-0000-000007000000}"/>
    <hyperlink ref="C4" r:id="rId6" xr:uid="{00000000-0004-0000-0000-000008000000}"/>
    <hyperlink ref="C5" r:id="rId7" xr:uid="{00000000-0004-0000-0000-00000A000000}"/>
    <hyperlink ref="C6" r:id="rId8" xr:uid="{ED4CC890-F92E-4832-9D15-2AFF0566323E}"/>
    <hyperlink ref="B9" r:id="rId9" xr:uid="{C4BAFCF2-466D-483A-A445-2F0898A49753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9"/>
  <sheetViews>
    <sheetView topLeftCell="C4" workbookViewId="0">
      <selection activeCell="H18" sqref="H18"/>
    </sheetView>
  </sheetViews>
  <sheetFormatPr defaultRowHeight="15.6" x14ac:dyDescent="0.3"/>
  <cols>
    <col min="1" max="1" width="4.5546875" style="3" customWidth="1"/>
    <col min="2" max="2" width="26.88671875" style="4" customWidth="1"/>
    <col min="3" max="6" width="9.5546875" style="4" customWidth="1"/>
    <col min="7" max="15" width="8.44140625" style="4" customWidth="1"/>
    <col min="16" max="20" width="8.44140625" style="5" customWidth="1"/>
    <col min="21" max="21" width="9.33203125" bestFit="1" customWidth="1"/>
    <col min="24" max="24" width="9.33203125" bestFit="1" customWidth="1"/>
  </cols>
  <sheetData>
    <row r="1" spans="1:28" ht="19.350000000000001" customHeight="1" x14ac:dyDescent="0.35">
      <c r="A1" s="14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</row>
    <row r="2" spans="1:28" ht="12.6" customHeight="1" x14ac:dyDescent="0.25">
      <c r="A2" s="148" t="s">
        <v>142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</row>
    <row r="3" spans="1:28" ht="12.6" customHeight="1" x14ac:dyDescent="0.25">
      <c r="A3" s="148" t="s">
        <v>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</row>
    <row r="4" spans="1:28" ht="16.5" customHeight="1" x14ac:dyDescent="0.25">
      <c r="A4" s="149" t="s">
        <v>5</v>
      </c>
      <c r="B4" s="134" t="s">
        <v>150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6"/>
      <c r="O4" s="150" t="s">
        <v>178</v>
      </c>
      <c r="P4" s="151"/>
      <c r="Q4" s="151"/>
      <c r="R4" s="151"/>
      <c r="S4" s="151"/>
      <c r="T4" s="151"/>
    </row>
    <row r="5" spans="1:28" ht="16.5" customHeight="1" x14ac:dyDescent="0.25">
      <c r="A5" s="149"/>
      <c r="B5" s="137" t="s">
        <v>6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9"/>
      <c r="O5" s="152" t="s">
        <v>177</v>
      </c>
      <c r="P5" s="153"/>
      <c r="Q5" s="153"/>
      <c r="R5" s="153"/>
      <c r="S5" s="153"/>
      <c r="T5" s="153"/>
      <c r="AB5" t="s">
        <v>8</v>
      </c>
    </row>
    <row r="6" spans="1:28" ht="16.5" customHeight="1" x14ac:dyDescent="0.25">
      <c r="A6" s="149"/>
      <c r="B6" s="140" t="s">
        <v>7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9"/>
      <c r="O6" s="154" t="s">
        <v>179</v>
      </c>
      <c r="P6" s="155"/>
      <c r="Q6" s="155"/>
      <c r="R6" s="155"/>
      <c r="S6" s="155"/>
      <c r="T6" s="153"/>
      <c r="AB6" t="s">
        <v>19</v>
      </c>
    </row>
    <row r="7" spans="1:28" ht="21.75" customHeight="1" x14ac:dyDescent="0.25">
      <c r="A7" s="6">
        <v>2</v>
      </c>
      <c r="B7" s="73" t="s">
        <v>159</v>
      </c>
      <c r="C7" s="75" t="s">
        <v>8</v>
      </c>
      <c r="D7" s="75" t="s">
        <v>8</v>
      </c>
      <c r="E7" s="75" t="s">
        <v>8</v>
      </c>
      <c r="F7" s="75" t="s">
        <v>8</v>
      </c>
      <c r="G7" s="75" t="s">
        <v>8</v>
      </c>
      <c r="H7" s="75" t="s">
        <v>8</v>
      </c>
      <c r="I7" s="75" t="s">
        <v>8</v>
      </c>
      <c r="J7" s="75" t="s">
        <v>8</v>
      </c>
      <c r="K7" s="75" t="s">
        <v>8</v>
      </c>
      <c r="L7" s="75" t="s">
        <v>8</v>
      </c>
      <c r="M7" s="75" t="s">
        <v>8</v>
      </c>
      <c r="N7" s="74" t="s">
        <v>8</v>
      </c>
      <c r="O7" s="74" t="s">
        <v>8</v>
      </c>
      <c r="P7" s="74" t="s">
        <v>8</v>
      </c>
      <c r="Q7" s="74" t="s">
        <v>8</v>
      </c>
      <c r="R7" s="74" t="s">
        <v>8</v>
      </c>
      <c r="S7" s="74" t="s">
        <v>8</v>
      </c>
      <c r="T7" s="74" t="s">
        <v>8</v>
      </c>
      <c r="AB7" t="s">
        <v>17</v>
      </c>
    </row>
    <row r="8" spans="1:28" ht="13.2" x14ac:dyDescent="0.25">
      <c r="A8" s="6"/>
      <c r="B8" s="141" t="s">
        <v>9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1"/>
      <c r="U8" s="8"/>
      <c r="Y8" s="9" t="s">
        <v>8</v>
      </c>
      <c r="AB8" t="s">
        <v>158</v>
      </c>
    </row>
    <row r="9" spans="1:28" ht="13.2" x14ac:dyDescent="0.25">
      <c r="A9" s="6"/>
      <c r="B9" s="20" t="s">
        <v>31</v>
      </c>
      <c r="C9" s="10" t="s">
        <v>167</v>
      </c>
      <c r="D9" s="10" t="s">
        <v>164</v>
      </c>
      <c r="E9" s="10" t="s">
        <v>157</v>
      </c>
      <c r="F9" s="10" t="s">
        <v>153</v>
      </c>
      <c r="G9" s="10" t="s">
        <v>151</v>
      </c>
      <c r="H9" s="10" t="s">
        <v>149</v>
      </c>
      <c r="I9" s="10" t="s">
        <v>146</v>
      </c>
      <c r="J9" s="10" t="s">
        <v>145</v>
      </c>
      <c r="K9" s="10" t="s">
        <v>144</v>
      </c>
      <c r="L9" s="10" t="s">
        <v>141</v>
      </c>
      <c r="M9" s="10" t="s">
        <v>140</v>
      </c>
      <c r="N9" s="10" t="s">
        <v>10</v>
      </c>
      <c r="O9" s="11" t="s">
        <v>11</v>
      </c>
      <c r="P9" s="11" t="s">
        <v>12</v>
      </c>
      <c r="Q9" s="11" t="s">
        <v>13</v>
      </c>
      <c r="R9" s="11" t="s">
        <v>14</v>
      </c>
      <c r="S9" s="11" t="s">
        <v>15</v>
      </c>
      <c r="T9" s="11" t="s">
        <v>16</v>
      </c>
      <c r="U9" s="8"/>
      <c r="Y9" s="9" t="s">
        <v>17</v>
      </c>
    </row>
    <row r="10" spans="1:28" ht="38.25" customHeight="1" x14ac:dyDescent="0.25">
      <c r="A10" s="12">
        <v>3</v>
      </c>
      <c r="B10" s="13" t="s">
        <v>18</v>
      </c>
      <c r="C10" s="76">
        <v>1000000</v>
      </c>
      <c r="D10" s="76">
        <v>900000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8"/>
      <c r="Y10" s="9" t="s">
        <v>19</v>
      </c>
    </row>
    <row r="11" spans="1:28" ht="16.5" customHeight="1" x14ac:dyDescent="0.25">
      <c r="A11" s="14">
        <v>4</v>
      </c>
      <c r="B11" s="7" t="s">
        <v>20</v>
      </c>
      <c r="C11" s="15">
        <f>SUM(D11:T11)</f>
        <v>100000</v>
      </c>
      <c r="D11" s="81">
        <v>100000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71">
        <v>0</v>
      </c>
      <c r="M11" s="71">
        <v>0</v>
      </c>
      <c r="N11" s="71">
        <v>0</v>
      </c>
      <c r="O11" s="16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8"/>
    </row>
    <row r="12" spans="1:28" ht="15" customHeight="1" x14ac:dyDescent="0.25">
      <c r="A12" s="18"/>
      <c r="B12" s="143" t="s">
        <v>21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</row>
    <row r="13" spans="1:28" ht="13.2" x14ac:dyDescent="0.25">
      <c r="A13" s="6"/>
      <c r="B13" s="20" t="s">
        <v>31</v>
      </c>
      <c r="C13" s="80" t="s">
        <v>167</v>
      </c>
      <c r="D13" s="80" t="s">
        <v>164</v>
      </c>
      <c r="E13" s="80" t="s">
        <v>157</v>
      </c>
      <c r="F13" s="80" t="s">
        <v>153</v>
      </c>
      <c r="G13" s="80" t="s">
        <v>151</v>
      </c>
      <c r="H13" s="80" t="s">
        <v>149</v>
      </c>
      <c r="I13" s="80" t="s">
        <v>146</v>
      </c>
      <c r="J13" s="80" t="s">
        <v>145</v>
      </c>
      <c r="K13" s="80" t="s">
        <v>144</v>
      </c>
      <c r="L13" s="15" t="s">
        <v>141</v>
      </c>
      <c r="M13" s="15" t="s">
        <v>140</v>
      </c>
      <c r="N13" s="15" t="s">
        <v>10</v>
      </c>
      <c r="O13" s="19" t="s">
        <v>11</v>
      </c>
      <c r="P13" s="19" t="s">
        <v>12</v>
      </c>
      <c r="Q13" s="19" t="s">
        <v>13</v>
      </c>
      <c r="R13" s="19" t="s">
        <v>14</v>
      </c>
      <c r="S13" s="19" t="s">
        <v>15</v>
      </c>
      <c r="T13" s="19" t="s">
        <v>16</v>
      </c>
    </row>
    <row r="14" spans="1:28" ht="21" customHeight="1" x14ac:dyDescent="0.25">
      <c r="A14" s="6"/>
      <c r="B14" s="7" t="s">
        <v>143</v>
      </c>
      <c r="C14" s="19">
        <f t="shared" ref="C14:M14" si="0">C10</f>
        <v>1000000</v>
      </c>
      <c r="D14" s="19">
        <f t="shared" ref="D14" si="1">D10</f>
        <v>900000</v>
      </c>
      <c r="E14" s="19">
        <f t="shared" ref="E14" si="2">E10</f>
        <v>0</v>
      </c>
      <c r="F14" s="19">
        <f t="shared" ref="F14" si="3">F10</f>
        <v>0</v>
      </c>
      <c r="G14" s="19">
        <f t="shared" ref="G14" si="4">G10</f>
        <v>0</v>
      </c>
      <c r="H14" s="19">
        <f>H10</f>
        <v>0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>
        <f t="shared" si="0"/>
        <v>0</v>
      </c>
      <c r="N14" s="19">
        <f t="shared" ref="N14:T14" si="5">N10</f>
        <v>0</v>
      </c>
      <c r="O14" s="19">
        <f t="shared" si="5"/>
        <v>0</v>
      </c>
      <c r="P14" s="19">
        <f t="shared" si="5"/>
        <v>0</v>
      </c>
      <c r="Q14" s="19">
        <f t="shared" si="5"/>
        <v>0</v>
      </c>
      <c r="R14" s="19">
        <f t="shared" si="5"/>
        <v>0</v>
      </c>
      <c r="S14" s="19">
        <f t="shared" si="5"/>
        <v>0</v>
      </c>
      <c r="T14" s="19">
        <f t="shared" si="5"/>
        <v>0</v>
      </c>
    </row>
    <row r="15" spans="1:28" ht="18.75" customHeight="1" x14ac:dyDescent="0.25">
      <c r="A15" s="14"/>
      <c r="B15" s="20" t="s">
        <v>22</v>
      </c>
      <c r="C15" s="21">
        <f>C11</f>
        <v>100000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8" ht="18.75" customHeight="1" x14ac:dyDescent="0.25">
      <c r="A16" s="6"/>
      <c r="B16" s="22" t="s">
        <v>23</v>
      </c>
      <c r="C16" s="19">
        <f t="shared" ref="C16:K16" si="6">SUM(C14:C15)</f>
        <v>1100000</v>
      </c>
      <c r="D16" s="19">
        <f t="shared" ref="D16" si="7">SUM(D14:D15)</f>
        <v>900000</v>
      </c>
      <c r="E16" s="19">
        <f t="shared" ref="E16" si="8">SUM(E14:E15)</f>
        <v>0</v>
      </c>
      <c r="F16" s="19">
        <f t="shared" ref="F16" si="9">SUM(F14:F15)</f>
        <v>0</v>
      </c>
      <c r="G16" s="19">
        <f t="shared" si="6"/>
        <v>0</v>
      </c>
      <c r="H16" s="19">
        <f t="shared" si="6"/>
        <v>0</v>
      </c>
      <c r="I16" s="19">
        <f t="shared" si="6"/>
        <v>0</v>
      </c>
      <c r="J16" s="19">
        <f t="shared" si="6"/>
        <v>0</v>
      </c>
      <c r="K16" s="19">
        <f t="shared" si="6"/>
        <v>0</v>
      </c>
      <c r="L16" s="19">
        <f t="shared" ref="L16:T16" si="10">SUM(L14:L15)</f>
        <v>0</v>
      </c>
      <c r="M16" s="19">
        <f>SUM(M14:M15)</f>
        <v>0</v>
      </c>
      <c r="N16" s="19">
        <f t="shared" si="10"/>
        <v>0</v>
      </c>
      <c r="O16" s="19">
        <f t="shared" si="10"/>
        <v>0</v>
      </c>
      <c r="P16" s="19">
        <f t="shared" si="10"/>
        <v>0</v>
      </c>
      <c r="Q16" s="19">
        <f t="shared" si="10"/>
        <v>0</v>
      </c>
      <c r="R16" s="19">
        <f t="shared" si="10"/>
        <v>0</v>
      </c>
      <c r="S16" s="19">
        <f t="shared" si="10"/>
        <v>0</v>
      </c>
      <c r="T16" s="19">
        <f t="shared" si="10"/>
        <v>0</v>
      </c>
    </row>
    <row r="17" spans="1:24" ht="18.75" customHeight="1" x14ac:dyDescent="0.25">
      <c r="A17" s="6"/>
      <c r="B17" s="22" t="s">
        <v>24</v>
      </c>
      <c r="C17" s="19">
        <f>IF(C7="M",C50,IF(C7="F",C51,IF(C7="S",C52,IF(C7="N",C53,"SEL M/F/S"))))</f>
        <v>142500</v>
      </c>
      <c r="D17" s="19">
        <f>IF(D7="M",D50,IF(D7="F",D51,IF(D7="S",D52,IF(D7="N",D53,"SEL M/F/S"))))</f>
        <v>92500</v>
      </c>
      <c r="E17" s="19">
        <f>IF(E7="M",E50,IF(E7="F",E51,IF(E7="S",E52,IF(E7="N",E53,"SEL M/F/S"))))</f>
        <v>0</v>
      </c>
      <c r="F17" s="19">
        <f t="shared" ref="F17" si="11">IF(F7="M",F50,IF(F7="F",F51,IF(F7="S",F52,"SEL M/F/S")))</f>
        <v>0</v>
      </c>
      <c r="G17" s="19">
        <f t="shared" ref="G17:K17" si="12">IF(G7="M",G50,IF(G7="F",G51,IF(G7="S",G52,"SEL M/F/S")))</f>
        <v>0</v>
      </c>
      <c r="H17" s="19">
        <f t="shared" si="12"/>
        <v>0</v>
      </c>
      <c r="I17" s="19">
        <f t="shared" si="12"/>
        <v>0</v>
      </c>
      <c r="J17" s="19">
        <f t="shared" si="12"/>
        <v>0</v>
      </c>
      <c r="K17" s="19">
        <f t="shared" si="12"/>
        <v>0</v>
      </c>
      <c r="L17" s="19">
        <f t="shared" ref="L17:T17" si="13">IF(L7="M",L50,IF(L7="F",L51,IF(L7="S",L52,"SEL M/F/S")))</f>
        <v>0</v>
      </c>
      <c r="M17" s="19">
        <f>IF(M7="M",M50,IF(M7="F",M51,IF(M7="S",M52,"SEL M/F/S")))</f>
        <v>0</v>
      </c>
      <c r="N17" s="19">
        <f t="shared" si="13"/>
        <v>0</v>
      </c>
      <c r="O17" s="19">
        <f t="shared" si="13"/>
        <v>0</v>
      </c>
      <c r="P17" s="19">
        <f t="shared" si="13"/>
        <v>0</v>
      </c>
      <c r="Q17" s="19">
        <f t="shared" si="13"/>
        <v>0</v>
      </c>
      <c r="R17" s="19">
        <f t="shared" si="13"/>
        <v>0</v>
      </c>
      <c r="S17" s="19">
        <f t="shared" si="13"/>
        <v>0</v>
      </c>
      <c r="T17" s="19">
        <f t="shared" si="13"/>
        <v>0</v>
      </c>
    </row>
    <row r="18" spans="1:24" ht="18.75" customHeight="1" x14ac:dyDescent="0.25">
      <c r="A18" s="6"/>
      <c r="B18" s="22" t="s">
        <v>25</v>
      </c>
      <c r="C18" s="19">
        <f>IF(C16&lt;5000001,0,MIN(C17*0.1,(C16-5000000)*0.7))</f>
        <v>0</v>
      </c>
      <c r="D18" s="19">
        <f>IF(D16&lt;5000001,0,MIN(D17*0.1,(D16-5000000)*0.7))</f>
        <v>0</v>
      </c>
      <c r="E18" s="19">
        <f>IF(E16&lt;5000001,0,MIN(E17*0.1,(E16-5000000)*0.7))</f>
        <v>0</v>
      </c>
      <c r="F18" s="19">
        <f>IF(F16&lt;5000001,0,MIN(F17*0.1,(F16-5000000)*0.7))</f>
        <v>0</v>
      </c>
      <c r="G18" s="19">
        <f>IF(G16&lt;5000001,0,MIN(G17*0.1,(G16-5000000)*0.7))</f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f>IF(Q16&gt;1000000,MIN(ROUND((Q16-1000000)*0.7,2),ROUND(Q17*0.1,2)),0)</f>
        <v>0</v>
      </c>
      <c r="R18" s="19">
        <f>IF(R16&gt;1000000,MIN(ROUND((R16-1000000)*0.7,2),ROUND(R17*0.1,2)),0)</f>
        <v>0</v>
      </c>
      <c r="S18" s="19">
        <f>IF(S16&gt;1000000,MIN(ROUND((S16-1000000)*0.7,2),ROUND(S17*0.1,2)),0)</f>
        <v>0</v>
      </c>
      <c r="T18" s="19">
        <f>IF(T16&gt;1000000,MIN(ROUND((T16-1000000)*0.7,2),ROUND(T17*0.1,2)),0)</f>
        <v>0</v>
      </c>
    </row>
    <row r="19" spans="1:24" ht="18.75" customHeight="1" x14ac:dyDescent="0.25">
      <c r="A19" s="6"/>
      <c r="B19" s="22" t="s">
        <v>26</v>
      </c>
      <c r="C19" s="19">
        <f t="shared" ref="C19:K19" si="14">SUM(C17:C18)</f>
        <v>142500</v>
      </c>
      <c r="D19" s="19">
        <f t="shared" ref="D19" si="15">SUM(D17:D18)</f>
        <v>92500</v>
      </c>
      <c r="E19" s="19">
        <f t="shared" ref="E19" si="16">SUM(E17:E18)</f>
        <v>0</v>
      </c>
      <c r="F19" s="19">
        <f t="shared" ref="F19" si="17">SUM(F17:F18)</f>
        <v>0</v>
      </c>
      <c r="G19" s="19">
        <f t="shared" si="14"/>
        <v>0</v>
      </c>
      <c r="H19" s="19">
        <f t="shared" si="14"/>
        <v>0</v>
      </c>
      <c r="I19" s="19">
        <f t="shared" si="14"/>
        <v>0</v>
      </c>
      <c r="J19" s="19">
        <f t="shared" si="14"/>
        <v>0</v>
      </c>
      <c r="K19" s="19">
        <f t="shared" si="14"/>
        <v>0</v>
      </c>
      <c r="L19" s="19">
        <f t="shared" ref="L19:T19" si="18">SUM(L17:L18)</f>
        <v>0</v>
      </c>
      <c r="M19" s="19">
        <f>SUM(M17:M18)</f>
        <v>0</v>
      </c>
      <c r="N19" s="19">
        <f t="shared" si="18"/>
        <v>0</v>
      </c>
      <c r="O19" s="19">
        <f t="shared" si="18"/>
        <v>0</v>
      </c>
      <c r="P19" s="19">
        <f t="shared" si="18"/>
        <v>0</v>
      </c>
      <c r="Q19" s="19">
        <f t="shared" si="18"/>
        <v>0</v>
      </c>
      <c r="R19" s="19">
        <f t="shared" si="18"/>
        <v>0</v>
      </c>
      <c r="S19" s="19">
        <f t="shared" si="18"/>
        <v>0</v>
      </c>
      <c r="T19" s="19">
        <f t="shared" si="18"/>
        <v>0</v>
      </c>
    </row>
    <row r="20" spans="1:24" ht="18.75" customHeight="1" x14ac:dyDescent="0.25">
      <c r="A20" s="6"/>
      <c r="B20" s="23" t="s">
        <v>27</v>
      </c>
      <c r="C20" s="24">
        <f>(C19*0.04)</f>
        <v>5700</v>
      </c>
      <c r="D20" s="24">
        <f>(D19*0.04)</f>
        <v>3700</v>
      </c>
      <c r="E20" s="24">
        <f>(E19*0.04)</f>
        <v>0</v>
      </c>
      <c r="F20" s="24">
        <f>(F19*0.04)</f>
        <v>0</v>
      </c>
      <c r="G20" s="24">
        <f>(G19*0.04)</f>
        <v>0</v>
      </c>
      <c r="H20" s="24">
        <f>(H19*0.03)</f>
        <v>0</v>
      </c>
      <c r="I20" s="24">
        <f>(I19*0.03)</f>
        <v>0</v>
      </c>
      <c r="J20" s="24">
        <f>(J19*0.03)</f>
        <v>0</v>
      </c>
      <c r="K20" s="24">
        <f>(K19*0.03)</f>
        <v>0</v>
      </c>
      <c r="L20" s="24">
        <f t="shared" ref="L20:R20" si="19">(L19*0.03)</f>
        <v>0</v>
      </c>
      <c r="M20" s="24">
        <f>(M19*0.03)</f>
        <v>0</v>
      </c>
      <c r="N20" s="24">
        <f t="shared" si="19"/>
        <v>0</v>
      </c>
      <c r="O20" s="24">
        <f t="shared" si="19"/>
        <v>0</v>
      </c>
      <c r="P20" s="24">
        <f t="shared" si="19"/>
        <v>0</v>
      </c>
      <c r="Q20" s="24">
        <f t="shared" si="19"/>
        <v>0</v>
      </c>
      <c r="R20" s="24">
        <f t="shared" si="19"/>
        <v>0</v>
      </c>
      <c r="S20" s="24">
        <f>(S19*0.02)</f>
        <v>0</v>
      </c>
      <c r="T20" s="24">
        <f>(T19*0.02)</f>
        <v>0</v>
      </c>
    </row>
    <row r="21" spans="1:24" ht="18.75" customHeight="1" x14ac:dyDescent="0.25">
      <c r="A21" s="6"/>
      <c r="B21" s="22" t="s">
        <v>28</v>
      </c>
      <c r="C21" s="19">
        <f t="shared" ref="C21:K21" si="20">SUM(C19:C20)</f>
        <v>148200</v>
      </c>
      <c r="D21" s="19">
        <f t="shared" ref="D21" si="21">SUM(D19:D20)</f>
        <v>96200</v>
      </c>
      <c r="E21" s="19">
        <f t="shared" ref="E21" si="22">SUM(E19:E20)</f>
        <v>0</v>
      </c>
      <c r="F21" s="19">
        <f t="shared" ref="F21" si="23">SUM(F19:F20)</f>
        <v>0</v>
      </c>
      <c r="G21" s="19">
        <f t="shared" si="20"/>
        <v>0</v>
      </c>
      <c r="H21" s="19">
        <f t="shared" si="20"/>
        <v>0</v>
      </c>
      <c r="I21" s="19">
        <f t="shared" si="20"/>
        <v>0</v>
      </c>
      <c r="J21" s="19">
        <f t="shared" si="20"/>
        <v>0</v>
      </c>
      <c r="K21" s="19">
        <f t="shared" si="20"/>
        <v>0</v>
      </c>
      <c r="L21" s="19">
        <f t="shared" ref="L21:T21" si="24">SUM(L19:L20)</f>
        <v>0</v>
      </c>
      <c r="M21" s="19">
        <f>SUM(M19:M20)</f>
        <v>0</v>
      </c>
      <c r="N21" s="19">
        <f t="shared" si="24"/>
        <v>0</v>
      </c>
      <c r="O21" s="19">
        <f t="shared" si="24"/>
        <v>0</v>
      </c>
      <c r="P21" s="19">
        <f t="shared" si="24"/>
        <v>0</v>
      </c>
      <c r="Q21" s="19">
        <f t="shared" si="24"/>
        <v>0</v>
      </c>
      <c r="R21" s="19">
        <f t="shared" si="24"/>
        <v>0</v>
      </c>
      <c r="S21" s="19">
        <f t="shared" si="24"/>
        <v>0</v>
      </c>
      <c r="T21" s="19">
        <f t="shared" si="24"/>
        <v>0</v>
      </c>
      <c r="X21" s="25">
        <f>SUM(Q21:T21)</f>
        <v>0</v>
      </c>
    </row>
    <row r="22" spans="1:24" ht="14.4" customHeight="1" x14ac:dyDescent="0.25">
      <c r="A22" s="6"/>
      <c r="B22" s="144" t="s">
        <v>29</v>
      </c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9">
        <f>SUM(C21:T21)</f>
        <v>244400</v>
      </c>
    </row>
    <row r="23" spans="1:24" ht="14.4" customHeight="1" x14ac:dyDescent="0.25">
      <c r="A23" s="6"/>
      <c r="B23" s="143" t="s">
        <v>30</v>
      </c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</row>
    <row r="24" spans="1:24" ht="13.2" x14ac:dyDescent="0.25">
      <c r="A24" s="6"/>
      <c r="B24" s="20" t="s">
        <v>31</v>
      </c>
      <c r="C24" s="10" t="s">
        <v>167</v>
      </c>
      <c r="D24" s="10" t="s">
        <v>164</v>
      </c>
      <c r="E24" s="10" t="s">
        <v>157</v>
      </c>
      <c r="F24" s="10" t="s">
        <v>153</v>
      </c>
      <c r="G24" s="10" t="s">
        <v>151</v>
      </c>
      <c r="H24" s="10" t="s">
        <v>149</v>
      </c>
      <c r="I24" s="10" t="s">
        <v>146</v>
      </c>
      <c r="J24" s="10" t="s">
        <v>145</v>
      </c>
      <c r="K24" s="10" t="s">
        <v>144</v>
      </c>
      <c r="L24" s="10" t="s">
        <v>141</v>
      </c>
      <c r="M24" s="10" t="s">
        <v>140</v>
      </c>
      <c r="N24" s="10" t="s">
        <v>10</v>
      </c>
      <c r="O24" s="11" t="s">
        <v>11</v>
      </c>
      <c r="P24" s="11" t="s">
        <v>12</v>
      </c>
      <c r="Q24" s="11" t="s">
        <v>13</v>
      </c>
      <c r="R24" s="11" t="s">
        <v>14</v>
      </c>
      <c r="S24" s="11" t="s">
        <v>15</v>
      </c>
      <c r="T24" s="11" t="s">
        <v>16</v>
      </c>
    </row>
    <row r="25" spans="1:24" ht="15.75" customHeight="1" x14ac:dyDescent="0.25">
      <c r="A25" s="6"/>
      <c r="B25" s="7" t="s">
        <v>143</v>
      </c>
      <c r="C25" s="19">
        <f t="shared" ref="C25:M25" si="25">C14</f>
        <v>1000000</v>
      </c>
      <c r="D25" s="19">
        <f t="shared" ref="D25" si="26">D14</f>
        <v>900000</v>
      </c>
      <c r="E25" s="19">
        <f t="shared" ref="E25" si="27">E14</f>
        <v>0</v>
      </c>
      <c r="F25" s="19">
        <f t="shared" ref="F25" si="28">F14</f>
        <v>0</v>
      </c>
      <c r="G25" s="19">
        <f t="shared" ref="G25" si="29">G14</f>
        <v>0</v>
      </c>
      <c r="H25" s="19">
        <f>H14</f>
        <v>0</v>
      </c>
      <c r="I25" s="19">
        <f t="shared" si="25"/>
        <v>0</v>
      </c>
      <c r="J25" s="19">
        <f t="shared" si="25"/>
        <v>0</v>
      </c>
      <c r="K25" s="19">
        <f t="shared" si="25"/>
        <v>0</v>
      </c>
      <c r="L25" s="19">
        <f t="shared" si="25"/>
        <v>0</v>
      </c>
      <c r="M25" s="19">
        <f t="shared" si="25"/>
        <v>0</v>
      </c>
      <c r="N25" s="19">
        <f t="shared" ref="N25:T25" si="30">N14</f>
        <v>0</v>
      </c>
      <c r="O25" s="19">
        <f t="shared" si="30"/>
        <v>0</v>
      </c>
      <c r="P25" s="19">
        <f t="shared" si="30"/>
        <v>0</v>
      </c>
      <c r="Q25" s="19">
        <f t="shared" si="30"/>
        <v>0</v>
      </c>
      <c r="R25" s="19">
        <f t="shared" si="30"/>
        <v>0</v>
      </c>
      <c r="S25" s="19">
        <f t="shared" si="30"/>
        <v>0</v>
      </c>
      <c r="T25" s="19">
        <f t="shared" si="30"/>
        <v>0</v>
      </c>
    </row>
    <row r="26" spans="1:24" ht="18.75" customHeight="1" x14ac:dyDescent="0.25">
      <c r="A26" s="6"/>
      <c r="B26" s="22" t="s">
        <v>22</v>
      </c>
      <c r="C26" s="19"/>
      <c r="D26" s="19">
        <f>D11</f>
        <v>100000</v>
      </c>
      <c r="E26" s="19">
        <f>E11</f>
        <v>0</v>
      </c>
      <c r="F26" s="19">
        <f>F11</f>
        <v>0</v>
      </c>
      <c r="G26" s="19">
        <f>G11</f>
        <v>0</v>
      </c>
      <c r="H26" s="19">
        <f t="shared" ref="H26:N26" si="31">H11</f>
        <v>0</v>
      </c>
      <c r="I26" s="19">
        <f t="shared" si="31"/>
        <v>0</v>
      </c>
      <c r="J26" s="19">
        <f t="shared" si="31"/>
        <v>0</v>
      </c>
      <c r="K26" s="19">
        <f t="shared" si="31"/>
        <v>0</v>
      </c>
      <c r="L26" s="19">
        <f t="shared" si="31"/>
        <v>0</v>
      </c>
      <c r="M26" s="19">
        <f t="shared" si="31"/>
        <v>0</v>
      </c>
      <c r="N26" s="19">
        <f t="shared" si="31"/>
        <v>0</v>
      </c>
      <c r="O26" s="19">
        <f t="shared" ref="O26:T26" si="32">O11</f>
        <v>0</v>
      </c>
      <c r="P26" s="19">
        <f t="shared" si="32"/>
        <v>0</v>
      </c>
      <c r="Q26" s="19">
        <f t="shared" si="32"/>
        <v>0</v>
      </c>
      <c r="R26" s="19">
        <f t="shared" si="32"/>
        <v>0</v>
      </c>
      <c r="S26" s="19">
        <f t="shared" si="32"/>
        <v>0</v>
      </c>
      <c r="T26" s="19">
        <f t="shared" si="32"/>
        <v>0</v>
      </c>
      <c r="U26" s="25">
        <f>SUM(R26:T26)</f>
        <v>0</v>
      </c>
    </row>
    <row r="27" spans="1:24" ht="18.75" customHeight="1" x14ac:dyDescent="0.25">
      <c r="A27" s="6"/>
      <c r="B27" s="22" t="s">
        <v>23</v>
      </c>
      <c r="C27" s="19">
        <f t="shared" ref="C27:K27" si="33">SUM(C25:C26)</f>
        <v>1000000</v>
      </c>
      <c r="D27" s="19">
        <f t="shared" ref="D27" si="34">SUM(D25:D26)</f>
        <v>1000000</v>
      </c>
      <c r="E27" s="19">
        <f t="shared" ref="E27" si="35">SUM(E25:E26)</f>
        <v>0</v>
      </c>
      <c r="F27" s="19">
        <f t="shared" ref="F27" si="36">SUM(F25:F26)</f>
        <v>0</v>
      </c>
      <c r="G27" s="19">
        <f t="shared" si="33"/>
        <v>0</v>
      </c>
      <c r="H27" s="19">
        <f t="shared" si="33"/>
        <v>0</v>
      </c>
      <c r="I27" s="19">
        <f t="shared" si="33"/>
        <v>0</v>
      </c>
      <c r="J27" s="19">
        <f t="shared" si="33"/>
        <v>0</v>
      </c>
      <c r="K27" s="19">
        <f t="shared" si="33"/>
        <v>0</v>
      </c>
      <c r="L27" s="19">
        <f t="shared" ref="L27:T27" si="37">SUM(L25:L26)</f>
        <v>0</v>
      </c>
      <c r="M27" s="19">
        <f>SUM(M25:M26)</f>
        <v>0</v>
      </c>
      <c r="N27" s="19">
        <f t="shared" si="37"/>
        <v>0</v>
      </c>
      <c r="O27" s="19">
        <f t="shared" si="37"/>
        <v>0</v>
      </c>
      <c r="P27" s="19">
        <f t="shared" si="37"/>
        <v>0</v>
      </c>
      <c r="Q27" s="19">
        <f t="shared" si="37"/>
        <v>0</v>
      </c>
      <c r="R27" s="19">
        <f t="shared" si="37"/>
        <v>0</v>
      </c>
      <c r="S27" s="19">
        <f t="shared" si="37"/>
        <v>0</v>
      </c>
      <c r="T27" s="19">
        <f t="shared" si="37"/>
        <v>0</v>
      </c>
    </row>
    <row r="28" spans="1:24" ht="18.75" customHeight="1" x14ac:dyDescent="0.25">
      <c r="A28" s="6"/>
      <c r="B28" s="22" t="s">
        <v>24</v>
      </c>
      <c r="C28" s="19">
        <f>IF(C7="M",C56,IF(C7="F",C57,IF(C7="S",C58,IF(C7="N",C59,"SEL M/F/S"))))</f>
        <v>112500</v>
      </c>
      <c r="D28" s="19">
        <f>IF(D7="M",D56,IF(D7="F",D57,IF(D7="S",D58,IF(D7="N",D59,"SEL M/F/S"))))</f>
        <v>112500</v>
      </c>
      <c r="E28" s="19">
        <f>IF(E7="M",E56,IF(E7="F",E57,IF(E7="S",E58,IF(E7="N",E59,"SEL M/F/S"))))</f>
        <v>0</v>
      </c>
      <c r="F28" s="19">
        <f t="shared" ref="F28" si="38">IF(F7="M",F56,IF(F7="F",F57,IF(F7="S",F58,"SEL M/F/S")))</f>
        <v>0</v>
      </c>
      <c r="G28" s="19">
        <f t="shared" ref="G28" si="39">IF(G7="M",G56,IF(G7="F",G57,IF(G7="S",G58,"SEL M/F/S")))</f>
        <v>0</v>
      </c>
      <c r="H28" s="19">
        <f>IF(H7="M",H56,IF(H7="F",H57,IF(H7="S",H58,"SEL M/F/S")))</f>
        <v>0</v>
      </c>
      <c r="I28" s="19">
        <f>IF(I7="M",I56,IF(I7="F",I57,IF(I7="S",I58,"SEL M/F/S")))</f>
        <v>0</v>
      </c>
      <c r="J28" s="19">
        <f t="shared" ref="J28:N28" si="40">IF(J7="M",J56,IF(J7="F",J57,IF(J7="S",J58,"SEL M/F/S")))</f>
        <v>0</v>
      </c>
      <c r="K28" s="19">
        <f t="shared" si="40"/>
        <v>0</v>
      </c>
      <c r="L28" s="19">
        <f t="shared" si="40"/>
        <v>0</v>
      </c>
      <c r="M28" s="19">
        <f t="shared" si="40"/>
        <v>0</v>
      </c>
      <c r="N28" s="19">
        <f t="shared" si="40"/>
        <v>0</v>
      </c>
      <c r="O28" s="19">
        <f t="shared" ref="O28:T28" si="41">IF(O7="M",O56,IF(O7="F",O57,IF(O7="S",O58,"SEL M/F/S")))</f>
        <v>0</v>
      </c>
      <c r="P28" s="19">
        <f t="shared" si="41"/>
        <v>0</v>
      </c>
      <c r="Q28" s="19">
        <f t="shared" si="41"/>
        <v>0</v>
      </c>
      <c r="R28" s="19">
        <f t="shared" si="41"/>
        <v>0</v>
      </c>
      <c r="S28" s="19">
        <f t="shared" si="41"/>
        <v>0</v>
      </c>
      <c r="T28" s="19">
        <f t="shared" si="41"/>
        <v>0</v>
      </c>
    </row>
    <row r="29" spans="1:24" ht="18.75" customHeight="1" x14ac:dyDescent="0.25">
      <c r="A29" s="6"/>
      <c r="B29" s="22" t="s">
        <v>25</v>
      </c>
      <c r="C29" s="19">
        <f>IF(C27&lt;5000001,0,MIN(C28*0.1,(C27-5000000)*0.7))</f>
        <v>0</v>
      </c>
      <c r="D29" s="19">
        <f>IF(D27&lt;5000001,0,MIN(D28*0.1,(D27-5000000)*0.7))</f>
        <v>0</v>
      </c>
      <c r="E29" s="19">
        <f>IF(E27&lt;5000001,0,MIN(E28*0.1,(E27-5000000)*0.7))</f>
        <v>0</v>
      </c>
      <c r="F29" s="19">
        <f>IF(F27&lt;5000001,0,MIN(F28*0.1,(F27-5000000)*0.7))</f>
        <v>0</v>
      </c>
      <c r="G29" s="19">
        <f>IF(G27&lt;5000001,0,MIN(G28*0.1,(G27-5000000)*0.7))</f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f>IF(Q27&gt;1000000,MIN(ROUND((Q27-1000000)*0.7,2),ROUND(Q28*0.1,2)),0)</f>
        <v>0</v>
      </c>
      <c r="R29" s="19">
        <f>IF(R27&gt;1000000,MIN(ROUND((R27-1000000)*0.7,2),ROUND(R28*0.1,2)),0)</f>
        <v>0</v>
      </c>
      <c r="S29" s="19">
        <f>IF(S27&gt;1000000,MIN(ROUND((S27-1000000)*0.7,2),ROUND(S28*0.1,2)),0)</f>
        <v>0</v>
      </c>
      <c r="T29" s="19">
        <f>IF(T27&gt;1000000,MIN(ROUND((T27-1000000)*0.7,2),ROUND(T28*0.1,2)),0)</f>
        <v>0</v>
      </c>
    </row>
    <row r="30" spans="1:24" ht="18.75" customHeight="1" x14ac:dyDescent="0.25">
      <c r="A30" s="6"/>
      <c r="B30" s="22" t="s">
        <v>26</v>
      </c>
      <c r="C30" s="19">
        <f t="shared" ref="C30:K30" si="42">SUM(C28:C29)</f>
        <v>112500</v>
      </c>
      <c r="D30" s="19">
        <f t="shared" ref="D30" si="43">SUM(D28:D29)</f>
        <v>112500</v>
      </c>
      <c r="E30" s="19">
        <f t="shared" ref="E30" si="44">SUM(E28:E29)</f>
        <v>0</v>
      </c>
      <c r="F30" s="19">
        <f t="shared" ref="F30" si="45">SUM(F28:F29)</f>
        <v>0</v>
      </c>
      <c r="G30" s="19">
        <f t="shared" si="42"/>
        <v>0</v>
      </c>
      <c r="H30" s="19">
        <f t="shared" si="42"/>
        <v>0</v>
      </c>
      <c r="I30" s="19">
        <f t="shared" si="42"/>
        <v>0</v>
      </c>
      <c r="J30" s="19">
        <f t="shared" si="42"/>
        <v>0</v>
      </c>
      <c r="K30" s="19">
        <f t="shared" si="42"/>
        <v>0</v>
      </c>
      <c r="L30" s="19">
        <f t="shared" ref="L30:T30" si="46">SUM(L28:L29)</f>
        <v>0</v>
      </c>
      <c r="M30" s="19">
        <f>SUM(M28:M29)</f>
        <v>0</v>
      </c>
      <c r="N30" s="19">
        <f t="shared" si="46"/>
        <v>0</v>
      </c>
      <c r="O30" s="19">
        <f t="shared" si="46"/>
        <v>0</v>
      </c>
      <c r="P30" s="19">
        <f t="shared" si="46"/>
        <v>0</v>
      </c>
      <c r="Q30" s="19">
        <f t="shared" si="46"/>
        <v>0</v>
      </c>
      <c r="R30" s="19">
        <f t="shared" si="46"/>
        <v>0</v>
      </c>
      <c r="S30" s="19">
        <f t="shared" si="46"/>
        <v>0</v>
      </c>
      <c r="T30" s="19">
        <f t="shared" si="46"/>
        <v>0</v>
      </c>
    </row>
    <row r="31" spans="1:24" ht="18.75" customHeight="1" x14ac:dyDescent="0.25">
      <c r="A31" s="6"/>
      <c r="B31" s="22" t="s">
        <v>27</v>
      </c>
      <c r="C31" s="24">
        <f>(C30*0.04)</f>
        <v>4500</v>
      </c>
      <c r="D31" s="24">
        <f>(D30*0.04)</f>
        <v>4500</v>
      </c>
      <c r="E31" s="24">
        <f>(E30*0.04)</f>
        <v>0</v>
      </c>
      <c r="F31" s="24">
        <f>(F30*0.04)</f>
        <v>0</v>
      </c>
      <c r="G31" s="24">
        <f>(G30*0.04)</f>
        <v>0</v>
      </c>
      <c r="H31" s="24">
        <f>(H30*0.03)</f>
        <v>0</v>
      </c>
      <c r="I31" s="24">
        <f>(I30*0.03)</f>
        <v>0</v>
      </c>
      <c r="J31" s="24">
        <f>(J30*0.03)</f>
        <v>0</v>
      </c>
      <c r="K31" s="24">
        <f>(K30*0.03)</f>
        <v>0</v>
      </c>
      <c r="L31" s="24">
        <f t="shared" ref="L31:R31" si="47">(L30*0.03)</f>
        <v>0</v>
      </c>
      <c r="M31" s="24">
        <f>(M30*0.03)</f>
        <v>0</v>
      </c>
      <c r="N31" s="24">
        <f t="shared" si="47"/>
        <v>0</v>
      </c>
      <c r="O31" s="24">
        <f t="shared" si="47"/>
        <v>0</v>
      </c>
      <c r="P31" s="24">
        <f t="shared" si="47"/>
        <v>0</v>
      </c>
      <c r="Q31" s="24">
        <f t="shared" si="47"/>
        <v>0</v>
      </c>
      <c r="R31" s="24">
        <f t="shared" si="47"/>
        <v>0</v>
      </c>
      <c r="S31" s="24">
        <f>(S30*0.02)</f>
        <v>0</v>
      </c>
      <c r="T31" s="24">
        <f>(T30*0.02)</f>
        <v>0</v>
      </c>
    </row>
    <row r="32" spans="1:24" ht="18.75" customHeight="1" x14ac:dyDescent="0.25">
      <c r="A32" s="6"/>
      <c r="B32" s="22" t="s">
        <v>28</v>
      </c>
      <c r="C32" s="19">
        <f t="shared" ref="C32:K32" si="48">SUM(C30:C31)</f>
        <v>117000</v>
      </c>
      <c r="D32" s="19">
        <f t="shared" ref="D32" si="49">SUM(D30:D31)</f>
        <v>117000</v>
      </c>
      <c r="E32" s="19">
        <f t="shared" ref="E32" si="50">SUM(E30:E31)</f>
        <v>0</v>
      </c>
      <c r="F32" s="19">
        <f t="shared" ref="F32" si="51">SUM(F30:F31)</f>
        <v>0</v>
      </c>
      <c r="G32" s="19">
        <f t="shared" si="48"/>
        <v>0</v>
      </c>
      <c r="H32" s="19">
        <f t="shared" si="48"/>
        <v>0</v>
      </c>
      <c r="I32" s="19">
        <f t="shared" si="48"/>
        <v>0</v>
      </c>
      <c r="J32" s="19">
        <f t="shared" si="48"/>
        <v>0</v>
      </c>
      <c r="K32" s="19">
        <f t="shared" si="48"/>
        <v>0</v>
      </c>
      <c r="L32" s="19">
        <f t="shared" ref="L32:T32" si="52">SUM(L30:L31)</f>
        <v>0</v>
      </c>
      <c r="M32" s="19">
        <f>SUM(M30:M31)</f>
        <v>0</v>
      </c>
      <c r="N32" s="19">
        <f t="shared" si="52"/>
        <v>0</v>
      </c>
      <c r="O32" s="19">
        <f t="shared" si="52"/>
        <v>0</v>
      </c>
      <c r="P32" s="19">
        <f t="shared" si="52"/>
        <v>0</v>
      </c>
      <c r="Q32" s="19">
        <f t="shared" si="52"/>
        <v>0</v>
      </c>
      <c r="R32" s="19">
        <f t="shared" si="52"/>
        <v>0</v>
      </c>
      <c r="S32" s="19">
        <f t="shared" si="52"/>
        <v>0</v>
      </c>
      <c r="T32" s="24">
        <f t="shared" si="52"/>
        <v>0</v>
      </c>
      <c r="X32" s="25">
        <f>SUM(Q32:T32)</f>
        <v>0</v>
      </c>
    </row>
    <row r="33" spans="1:20" ht="18.75" customHeight="1" x14ac:dyDescent="0.25">
      <c r="A33" s="26"/>
      <c r="B33" s="145" t="s">
        <v>32</v>
      </c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9">
        <f>SUM(C32:T32)</f>
        <v>234000</v>
      </c>
    </row>
    <row r="34" spans="1:20" ht="18.75" customHeight="1" x14ac:dyDescent="0.25">
      <c r="A34" s="89">
        <v>5</v>
      </c>
      <c r="B34" s="78" t="s">
        <v>33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133" t="s">
        <v>34</v>
      </c>
      <c r="P34" s="133"/>
      <c r="Q34" s="133"/>
      <c r="R34" s="133"/>
      <c r="S34" s="133"/>
      <c r="T34" s="82">
        <f>IF(T33&gt;T22,0,T22-T33)</f>
        <v>10400</v>
      </c>
    </row>
    <row r="50" spans="2:20" x14ac:dyDescent="0.3">
      <c r="B50" s="4" t="s">
        <v>35</v>
      </c>
      <c r="C50" s="5">
        <f t="shared" ref="C50:F51" si="53">IF(C$16&gt;1000000,112500+(C$16-1000000)*0.3,IF(C$16&gt;500000,12500+(C$16-500000)*0.2,0))</f>
        <v>142500</v>
      </c>
      <c r="D50" s="5">
        <f t="shared" si="53"/>
        <v>92500</v>
      </c>
      <c r="E50" s="5">
        <f t="shared" si="53"/>
        <v>0</v>
      </c>
      <c r="F50" s="5">
        <f t="shared" si="53"/>
        <v>0</v>
      </c>
      <c r="G50" s="5">
        <f>IF(G$16&gt;1000000,112500+(G$16-1000000)*0.3,IF(G$16&gt;500000,12500+(G$16-500000)*0.2,IF(G$16&gt;250000,(G$16-250000)*0.05,0)))-IF(G$16&gt;350000,0,IF(G$16&lt;250001,0,MIN(2500,(G$16-250000)*0.05)))</f>
        <v>0</v>
      </c>
      <c r="H50" s="5">
        <f>IF(H$16&gt;1000000,112500+(H$16-1000000)*0.3,IF(H$16&gt;500000,12500+(H$16-500000)*0.2,IF(H$16&gt;250000,(H$16-250000)*0.05,0)))-IF(H$16&gt;350000,0,IF(H$16&lt;250001,0,MIN(2500,(H$16-250000)*0.05)))</f>
        <v>0</v>
      </c>
      <c r="I50" s="5">
        <f>IF(I$16&gt;1000000,125000+(I$16-1000000)*0.3,IF(I$16&gt;500000,25000+(I$16-500000)*0.2,IF(I$16&gt;300000,(I$16-300000)*0.1,0)))</f>
        <v>0</v>
      </c>
      <c r="J50" s="5">
        <f>IF(J$16&gt;1000000,125000+(J$16-1000000)*0.3,IF(J$16&gt;500000,25000+(J$16-500000)*0.2,IF(J$16&gt;270000,(J$16-270000)*0.1,0)))</f>
        <v>0</v>
      </c>
      <c r="K50" s="5">
        <f>IF(K$16&gt;1000000,125000+(K$16-1000000)*0.3,IF(K$16&gt;500000,25000+(K$16-500000)*0.2,IF(K$16&gt;270000,(K$16-270000)*0.1,0)))</f>
        <v>0</v>
      </c>
      <c r="L50" s="5">
        <f>IF(L$16&gt;1000000,130000+(L$16-1000000)*0.3,IF(L$16&gt;500000,30000+(L$16-500000)*0.2,IF(L$16&gt;220000,(L$16-220000)*0.1,0)))</f>
        <v>0</v>
      </c>
      <c r="M50" s="5">
        <f>IF(M$16&gt;1000000,130000+(M$16-1000000)*0.3,IF(M$16&gt;500000,30000+(M$16-500000)*0.2,IF(M$16&gt;200000,(M$16-200000)*0.1,0)))</f>
        <v>0</v>
      </c>
      <c r="N50" s="5">
        <f>IF(N$16&gt;800000,92000+(N$16-800000)*0.3,IF(N$16&gt;500000,32000+(N$16-500000)*0.2,IF(N$16&gt;180000,(N$16-180000)*0.1,0)))</f>
        <v>0</v>
      </c>
      <c r="O50" s="5">
        <f>IF(O$16&gt;800000,94000+(O$16-800000)*0.3,IF(O$16&gt;500000,34000+(O$16-500000)*0.2,IF(O$16&gt;160000,(O$16-160000)*0.1,0)))</f>
        <v>0</v>
      </c>
      <c r="P50" s="5">
        <f>IF(P$16&gt;500000,54000+(P$16-500000)*0.3,IF(P$16&gt;300000,14000+(P$16-300000)*0.2,IF(P$16&gt;160000,(P$16-160000)*0.1,0)))</f>
        <v>0</v>
      </c>
      <c r="Q50" s="5">
        <f>IF(Q$16&gt;500000,55000+(Q$16-500000)*0.3,IF(Q$16&gt;300000,15000+(Q$16-300000)*0.2,IF(Q$16&gt;150000,(Q$16-150000)*0.1,0)))</f>
        <v>0</v>
      </c>
      <c r="R50" s="5">
        <f>IF(R$16&gt;250000,24000+(R$16-250000)*0.3,IF(R$16&gt;150000,4000+(R$16-150000)*0.2,IF(R$16&gt;110000,(R$16-110000)*0.1,0)))</f>
        <v>0</v>
      </c>
      <c r="S50" s="5">
        <f>IF(S$16&gt;250000,25000+(S$16-250000)*0.3,IF(S$16&gt;150000,5000+(S$16-150000)*0.2,IF(S$16&gt;100000,(S$16-100000)*0.1,0)))</f>
        <v>0</v>
      </c>
      <c r="T50" s="5">
        <f>IF(T$16&gt;250000,25000+(T$16-250000)*0.3,IF(T$16&gt;150000,5000+(T$16-150000)*0.2,IF(T$16&gt;100000,(T$16-100000)*0.1,0)))</f>
        <v>0</v>
      </c>
    </row>
    <row r="51" spans="2:20" x14ac:dyDescent="0.3">
      <c r="B51" s="4" t="s">
        <v>36</v>
      </c>
      <c r="C51" s="5">
        <f t="shared" si="53"/>
        <v>142500</v>
      </c>
      <c r="D51" s="5">
        <f t="shared" si="53"/>
        <v>92500</v>
      </c>
      <c r="E51" s="5">
        <f t="shared" si="53"/>
        <v>0</v>
      </c>
      <c r="F51" s="5">
        <f t="shared" si="53"/>
        <v>0</v>
      </c>
      <c r="G51" s="5">
        <f>IF(G$16&gt;1000000,112500+(G$16-1000000)*0.3,IF(G$16&gt;500000,12500+(G$16-500000)*0.2,IF(G$16&gt;250000,(G$16-250000)*0.05,0)))-IF(G$16&gt;350000,0,IF(G$16&lt;250001,0,MIN(2500,(G$16-250000)*0.05)))</f>
        <v>0</v>
      </c>
      <c r="H51" s="5">
        <f>IF(H$16&gt;1000000,112500+(H$16-1000000)*0.3,IF(H$16&gt;500000,12500+(H$16-500000)*0.2,IF(H$16&gt;250000,(H$16-250000)*0.05,0)))-IF(H$16&gt;350000,0,IF(H$16&lt;250001,0,MIN(2500,(H$16-250000)*0.05)))</f>
        <v>0</v>
      </c>
      <c r="I51" s="5">
        <f>IF(I$16&gt;1000000,125000+(I$16-1000000)*0.3,IF(I$16&gt;500000,25000+(I$16-500000)*0.2,IF(I$16&gt;300000,(I$16-300000)*0.1,0)))</f>
        <v>0</v>
      </c>
      <c r="J51" s="5">
        <f>IF(J$16&gt;1000000,125000+(J$16-1000000)*0.3,IF(J$16&gt;500000,25000+(J$16-500000)*0.2,IF(J$16&gt;270000,(J$16-270000)*0.1,0)))</f>
        <v>0</v>
      </c>
      <c r="K51" s="5">
        <f>IF(K$16&gt;1000000,125000+(K$16-1000000)*0.3,IF(K$16&gt;500000,25000+(K$16-500000)*0.2,IF(K$16&gt;270000,(K$16-270000)*0.1,0)))</f>
        <v>0</v>
      </c>
      <c r="L51" s="5">
        <f>IF(L$16&gt;1000000,130000+(L$16-1000000)*0.3,IF(L$16&gt;500000,30000+(L$16-500000)*0.2,IF(L$16&gt;220000,(L$16-220000)*0.1,0)))</f>
        <v>0</v>
      </c>
      <c r="M51" s="5">
        <f>IF(M$16&gt;1000000,130000+(M$16-1000000)*0.3,IF(M$16&gt;500000,30000+(M$16-500000)*0.2,IF(M$16&gt;200000,(M$16-200000)*0.1,0)))</f>
        <v>0</v>
      </c>
      <c r="N51" s="5">
        <f>IF(N$16&gt;800000,91000+(N$16-800000)*0.3,IF(N$16&gt;500000,31000+(N$16-500000)*0.2,IF(N$16&gt;190000,(N$16-190000)*0.1,0)))</f>
        <v>0</v>
      </c>
      <c r="O51" s="5">
        <f>IF(O$16&gt;800000,91000+(O$16-800000)*0.3,IF(O$16&gt;500000,31000+(O$16-500000)*0.2,IF(O$16&gt;190000,(O$16-190000)*0.1,0)))</f>
        <v>0</v>
      </c>
      <c r="P51" s="5">
        <f>IF(P$16&gt;500000,51000+(P$16-500000)*0.3,IF(P$16&gt;300000,11000+(P$16-300000)*0.2,IF(P$16&gt;190000,(P$16-190000)*0.1,0)))</f>
        <v>0</v>
      </c>
      <c r="Q51" s="5">
        <f>IF(Q$16&gt;500000,52000+(Q$16-500000)*0.3,IF(Q$16&gt;300000,12000+(Q$16-300000)*0.2,IF(Q$16&gt;180000,(Q$16-180000)*0.1,0)))</f>
        <v>0</v>
      </c>
      <c r="R51" s="5">
        <f>IF(R$16&gt;250000,20500+(R$16-250000)*0.3,IF(R$16&gt;150000,500+(R$16-150000)*0.2,IF(R$16&gt;145000,(R$16-145000)*0.1,0)))</f>
        <v>0</v>
      </c>
      <c r="S51" s="5">
        <f>IF(S$16&gt;250000,21500+(S$16-250000)*0.3,IF(S$16&gt;150000,1500+(S$16-150000)*0.2,IF(S$16&gt;135000,(S$16-135000)*0.1,0)))</f>
        <v>0</v>
      </c>
      <c r="T51" s="5">
        <f>IF(T$16&gt;250000,21500+(T$16-250000)*0.3,IF(T$16&gt;150000,1500+(T$16-150000)*0.2,IF(T$16&gt;135000,(T$16-135000)*0.1,0)))</f>
        <v>0</v>
      </c>
    </row>
    <row r="52" spans="2:20" x14ac:dyDescent="0.3">
      <c r="B52" s="4" t="s">
        <v>37</v>
      </c>
      <c r="C52" s="5">
        <f>IF(C$16&gt;1000000,110000+(C$16-1000000)*0.3,IF(C$16&gt;500000,10000+(C$16-500000)*0.2,0))</f>
        <v>140000</v>
      </c>
      <c r="D52" s="5">
        <f>IF(D$16&gt;1000000,110000+(D$16-1000000)*0.3,IF(D$16&gt;500000,10000+(D$16-500000)*0.2,0))</f>
        <v>90000</v>
      </c>
      <c r="E52" s="5">
        <f>IF(E$16&gt;1000000,110000+(E$16-1000000)*0.3,IF(E$16&gt;500000,10000+(E$16-500000)*0.2,0))</f>
        <v>0</v>
      </c>
      <c r="F52" s="5">
        <f>IF(F$16&gt;1000000,110000+(F$16-1000000)*0.3,IF(F$16&gt;500000,10000+(F$16-500000)*0.2,0))</f>
        <v>0</v>
      </c>
      <c r="G52" s="5">
        <f>IF(G$16&gt;1000000,110000+(G$16-1000000)*0.3,IF(G$16&gt;500000,10000+(G$16-500000)*0.2,IF(G$16&gt;300000,(G$16-300000)*0.05,0)))-IF(G$16&gt;350000,0,IF(G$16&lt;300001,0,MIN(2500,(G$16-300000)*0.05)))</f>
        <v>0</v>
      </c>
      <c r="H52" s="5">
        <f>IF(H$16&gt;1000000,110000+(H$16-1000000)*0.3,IF(H$16&gt;500000,10000+(H$16-500000)*0.2,IF(H$16&gt;300000,(H$16-300000)*0.05,0)))-IF(H$16&gt;350000,0,IF(H$16&lt;300001,0,MIN(2500,(H$16-300000)*0.05)))</f>
        <v>0</v>
      </c>
      <c r="I52" s="5">
        <f>IF(I$16&gt;1000000,120000+(I$16-1000000)*0.3,IF(I$16&gt;500000,20000+(I$16-500000)*0.2,IF(I$16&gt;350000,(I$16-350000)*0.1,0)))</f>
        <v>0</v>
      </c>
      <c r="J52" s="5">
        <f>IF(J$16&gt;1000000,120000+(J$16-1000000)*0.3,IF(J$16&gt;500000,20000+(J$16-500000)*0.2,IF(J$16&gt;320000,(J$16-320000)*0.1,0)))</f>
        <v>0</v>
      </c>
      <c r="K52" s="5">
        <f>IF(K$16&gt;1000000,120000+(K$16-1000000)*0.3,IF(K$16&gt;500000,20000+(K$16-500000)*0.2,IF(K$16&gt;320000,(K$16-320000)*0.1,0)))</f>
        <v>0</v>
      </c>
      <c r="L52" s="5">
        <f>IF(L$16&gt;1000000,125000+(L$16-1000000)*0.3,IF(L$16&gt;500000,25000+(L$16-500000)*0.2,IF(L$16&gt;270000,(L$16-270000)*0.1,0)))</f>
        <v>0</v>
      </c>
      <c r="M52" s="5">
        <f>IF(M$16&gt;1000000,125000+(M$16-1000000)*0.3,IF(M$16&gt;500000,25000+(M$16-500000)*0.2,IF(M$16&gt;250000,(M$16-250000)*0.1,0)))</f>
        <v>0</v>
      </c>
      <c r="N52" s="5">
        <f>IF(N$16&gt;800000,85000+(N$16-800000)*0.3,IF(N$16&gt;500000,25000+(N$16-500000)*0.2,IF(N$16&gt;250000,(N$16-250000)*0.1,0)))</f>
        <v>0</v>
      </c>
      <c r="O52" s="5">
        <f>IF(O$16&gt;800000,86000+(O$16-800000)*0.3,IF(O$16&gt;500000,26000+(O$16-500000)*0.2,IF(O$16&gt;240000,(O$16-240000)*0.1,0)))</f>
        <v>0</v>
      </c>
      <c r="P52" s="5">
        <f>IF(P$16&gt;500000,46000+(P$16-500000)*0.3,IF(P$16&gt;300000,6000+(P$16-300000)*0.2,IF(P$16&gt;240000,(P$16-240000)*0.1,0)))</f>
        <v>0</v>
      </c>
      <c r="Q52" s="5">
        <f>IF(Q$16&gt;500000,47500+(Q$16-500000)*0.3,IF(Q$16&gt;300000,7500+(Q$16-300000)*0.2,IF(Q$16&gt;225000,(Q$16-225000)*0.1,0)))</f>
        <v>0</v>
      </c>
      <c r="R52" s="5">
        <f>IF(R$16&gt;250000,11000+(R$16-250000)*0.3,IF(R$16&gt;195000,(R$16-195000)*0.2,0))</f>
        <v>0</v>
      </c>
      <c r="S52" s="5">
        <f>IF(S$16&gt;250000,13000+(S$16-250000)*0.3,IF(S$16&gt;185000,(S$16-185000)*0.2,0))</f>
        <v>0</v>
      </c>
      <c r="T52" s="5">
        <f>IF(T$16&gt;250000,13000+(T$16-250000)*0.3,IF(T$16&gt;185000,(T$16-185000)*0.2,0))</f>
        <v>0</v>
      </c>
    </row>
    <row r="53" spans="2:20" x14ac:dyDescent="0.3">
      <c r="B53" s="4" t="s">
        <v>160</v>
      </c>
      <c r="C53" s="4">
        <f>IF(C16&gt;1500000,187500+(C16-1500000)*0.3,IF(C16&gt;1250000,125000+(C16-1250000)*0.25,IF(C16&gt;1000000,75000+(C16-1000000)*0.2,IF(C16&gt;750000,37500+(C16-750000)*0.15,IF(C16&gt;500000,12500+(C16-500000)*0.1,0)))))</f>
        <v>95000</v>
      </c>
      <c r="D53" s="4">
        <f>IF(D16&gt;1500000,187500+(D16-1500000)*0.3,IF(D16&gt;1250000,125000+(D16-1250000)*0.25,IF(D16&gt;1000000,75000+(D16-1000000)*0.2,IF(D16&gt;750000,37500+(D16-750000)*0.15,IF(D16&gt;500000,12500+(D16-500000)*0.1,0)))))</f>
        <v>60000</v>
      </c>
      <c r="E53" s="4">
        <f>IF(E16&gt;1500000,187500+(E16-1500000)*0.3,IF(E16&gt;1250000,125000+(E16-1250000)*0.25,IF(E16&gt;1000000,75000+(E16-1000000)*0.2,IF(E16&gt;750000,37500+(E16-750000)*0.15,IF(E16&gt;500000,12500+(E16-500000)*0.1,0)))))</f>
        <v>0</v>
      </c>
      <c r="O53" s="5"/>
    </row>
    <row r="54" spans="2:20" x14ac:dyDescent="0.3">
      <c r="O54" s="5"/>
    </row>
    <row r="55" spans="2:20" x14ac:dyDescent="0.3">
      <c r="O55" s="5"/>
    </row>
    <row r="56" spans="2:20" x14ac:dyDescent="0.3">
      <c r="B56" s="4" t="s">
        <v>35</v>
      </c>
      <c r="C56" s="5">
        <f t="shared" ref="C56:F57" si="54">IF(C$27&gt;1000000,112500+(C$27-1000000)*0.3,IF(C$27&gt;500000,12500+(C$27-500000)*0.2,0))</f>
        <v>112500</v>
      </c>
      <c r="D56" s="5">
        <f t="shared" si="54"/>
        <v>112500</v>
      </c>
      <c r="E56" s="5">
        <f t="shared" si="54"/>
        <v>0</v>
      </c>
      <c r="F56" s="5">
        <f t="shared" si="54"/>
        <v>0</v>
      </c>
      <c r="G56" s="5">
        <f>IF(G$27&gt;1000000,112500+(G$27-1000000)*0.3,IF(G$27&gt;500000,12500+(G$27-500000)*0.2,IF(G$27&gt;250000,(G$27-250000)*0.05,0)))-IF(G$27&gt;350000,0,IF(G$27&lt;250001,0,MIN(2500,(G$27-250000)*0.05)))</f>
        <v>0</v>
      </c>
      <c r="H56" s="5">
        <f>IF(H$27&gt;1000000,112500+(H$27-1000000)*0.3,IF(H$27&gt;500000,12500+(H$27-500000)*0.2,IF(H$27&gt;250000,(H$27-250000)*0.05,0)))-IF(H$27&gt;350000,0,IF(H$27&lt;250001,0,MIN(2500,(H$27-250000)*0.05)))</f>
        <v>0</v>
      </c>
      <c r="I56" s="5">
        <f>IF(I$27&gt;1000000,125000+(I$27-1000000)*0.3,IF(I$27&gt;500000,25000+(I$27-500000)*0.2,IF(I$27&gt;300000,(I$27-300000)*0.1,0)))</f>
        <v>0</v>
      </c>
      <c r="J56" s="5">
        <f>IF(J$27&gt;1000000,125000+(J$27-1000000)*0.3,IF(J$27&gt;500000,25000+(J$27-500000)*0.2,IF(J$27&gt;270000,(J$27-270000)*0.1,0)))</f>
        <v>0</v>
      </c>
      <c r="K56" s="5">
        <f>IF(K$27&gt;1000000,125000+(K$27-1000000)*0.3,IF(K$27&gt;500000,25000+(K$27-500000)*0.2,IF(K$27&gt;270000,(K$27-270000)*0.1,0)))</f>
        <v>0</v>
      </c>
      <c r="L56" s="5">
        <f>IF(L$27&gt;1000000,130000+(L$27-1000000)*0.3,IF(L$27&gt;500000,30000+(L$27-500000)*0.2,IF(L$27&gt;220000,(L$27-220000)*0.1,0)))</f>
        <v>0</v>
      </c>
      <c r="M56" s="5">
        <f>IF(M$27&gt;1000000,130000+(M$27-1000000)*0.3,IF(M$27&gt;500000,30000+(M$27-500000)*0.2,IF(M$27&gt;200000,(M$27-200000)*0.1,0)))</f>
        <v>0</v>
      </c>
      <c r="N56" s="5">
        <f>IF(N$27&gt;800000,92000+(N$27-800000)*0.3,IF(N$27&gt;500000,32000+(N$27-500000)*0.2,IF(N$27&gt;180000,(N$27-180000)*0.1,0)))</f>
        <v>0</v>
      </c>
      <c r="O56" s="5">
        <f>IF(O$27&gt;800000,94000+(O$27-800000)*0.3,IF(O$27&gt;500000,34000+(O$27-500000)*0.2,IF(O$27&gt;160000,(O$27-160000)*0.1,0)))</f>
        <v>0</v>
      </c>
      <c r="P56" s="5">
        <f>IF(P$27&gt;500000,54000+(P$27-500000)*0.3,IF(P$27&gt;300000,14000+(P$27-300000)*0.2,IF(P$27&gt;160000,(P$27-160000)*0.1,0)))</f>
        <v>0</v>
      </c>
      <c r="Q56" s="5">
        <f>IF(Q$27&gt;500000,55000+(Q$27-500000)*0.3,IF(Q$27&gt;300000,15000+(Q$27-300000)*0.2,IF(Q$27&gt;150000,(Q$27-150000)*0.1,0)))</f>
        <v>0</v>
      </c>
      <c r="R56" s="5">
        <f>IF(R$27&gt;250000,24000+(R$27-250000)*0.3,IF(R$27&gt;150000,4000+(R$27-150000)*0.2,IF(R$27&gt;110000,(R$27-110000)*0.1,0)))</f>
        <v>0</v>
      </c>
      <c r="S56" s="5">
        <f>IF(S$27&gt;250000,25000+(S$27-250000)*0.3,IF(S$27&gt;150000,5000+(S$27-150000)*0.2,IF(S$27&gt;100000,(S$27-100000)*0.1,0)))</f>
        <v>0</v>
      </c>
      <c r="T56" s="5">
        <f>IF(T$27&gt;250000,25000+(T$27-250000)*0.3,IF(T$27&gt;150000,5000+(T$27-150000)*0.2,IF(T$27&gt;100000,(T$27-100000)*0.1,0)))</f>
        <v>0</v>
      </c>
    </row>
    <row r="57" spans="2:20" x14ac:dyDescent="0.3">
      <c r="B57" s="4" t="s">
        <v>36</v>
      </c>
      <c r="C57" s="5">
        <f t="shared" si="54"/>
        <v>112500</v>
      </c>
      <c r="D57" s="5">
        <f t="shared" si="54"/>
        <v>112500</v>
      </c>
      <c r="E57" s="5">
        <f t="shared" si="54"/>
        <v>0</v>
      </c>
      <c r="F57" s="5">
        <f t="shared" si="54"/>
        <v>0</v>
      </c>
      <c r="G57" s="5">
        <f>IF(G$27&gt;1000000,112500+(G$27-1000000)*0.3,IF(G$27&gt;500000,12500+(G$27-500000)*0.2,IF(G$27&gt;250000,(G$27-250000)*0.05,0)))-IF(G$27&gt;350000,0,IF(G$27&lt;250001,0,MIN(2500,(G$27-250000)*0.05)))</f>
        <v>0</v>
      </c>
      <c r="H57" s="5">
        <f>IF(H$27&gt;1000000,112500+(H$27-1000000)*0.3,IF(H$27&gt;500000,12500+(H$27-500000)*0.2,IF(H$27&gt;250000,(H$27-250000)*0.05,0)))-IF(H$27&gt;350000,0,IF(H$27&lt;250001,0,MIN(2500,(H$27-250000)*0.05)))</f>
        <v>0</v>
      </c>
      <c r="I57" s="5">
        <f>IF(I$27&gt;1000000,125000+(I$27-1000000)*0.3,IF(I$27&gt;500000,25000+(I$27-500000)*0.2,IF(I$27&gt;300000,(I$27-300000)*0.1,0)))</f>
        <v>0</v>
      </c>
      <c r="J57" s="5">
        <f>IF(J$27&gt;1000000,125000+(J$27-1000000)*0.3,IF(J$27&gt;500000,25000+(J$27-500000)*0.2,IF(J$27&gt;270000,(J$27-270000)*0.1,0)))</f>
        <v>0</v>
      </c>
      <c r="K57" s="5">
        <f>IF(K$27&gt;1000000,125000+(K$27-1000000)*0.3,IF(K$27&gt;500000,25000+(K$27-500000)*0.2,IF(K$27&gt;270000,(K$27-270000)*0.1,0)))</f>
        <v>0</v>
      </c>
      <c r="L57" s="5">
        <f>IF(L$27&gt;1000000,130000+(L$27-1000000)*0.3,IF(L$27&gt;500000,30000+(L$27-500000)*0.2,IF(L$27&gt;220000,(L$27-220000)*0.1,0)))</f>
        <v>0</v>
      </c>
      <c r="M57" s="5">
        <f>IF(M$27&gt;1000000,130000+(M$27-1000000)*0.3,IF(M$27&gt;500000,30000+(M$27-500000)*0.2,IF(M$27&gt;200000,(M$27-200000)*0.1,0)))</f>
        <v>0</v>
      </c>
      <c r="N57" s="5">
        <f>IF(N$27&gt;800000,91000+(N$27-800000)*0.3,IF(N$27&gt;500000,31000+(N$27-500000)*0.2,IF(N$27&gt;190000,(N$27-190000)*0.1,0)))</f>
        <v>0</v>
      </c>
      <c r="O57" s="5">
        <f>IF(O$27&gt;800000,91000+(O$27-800000)*0.3,IF(O$27&gt;500000,31000+(O$27-500000)*0.2,IF(O$27&gt;190000,(O$27-190000)*0.1,0)))</f>
        <v>0</v>
      </c>
      <c r="P57" s="5">
        <f>IF(P$27&gt;500000,51000+(P$27-500000)*0.3,IF(P$27&gt;300000,11000+(P$27-300000)*0.2,IF(P$27&gt;190000,(P$27-190000)*0.1,0)))</f>
        <v>0</v>
      </c>
      <c r="Q57" s="5">
        <f>IF(Q$27&gt;500000,52000+(Q$27-500000)*0.3,IF(Q$27&gt;300000,12000+(Q$27-300000)*0.2,IF(Q$27&gt;180000,(Q$27-180000)*0.1,0)))</f>
        <v>0</v>
      </c>
      <c r="R57" s="5">
        <f>IF(R$27&gt;250000,20500+(R$27-250000)*0.3,IF(R$27&gt;150000,500+(R$27-150000)*0.2,IF(R$27&gt;145000,(R$27-145000)*0.1,0)))</f>
        <v>0</v>
      </c>
      <c r="S57" s="5">
        <f>IF(S$27&gt;250000,21500+(S$27-250000)*0.3,IF(S$27&gt;150000,1500+(S$27-150000)*0.2,IF(S$27&gt;135000,(S$27-135000)*0.1,0)))</f>
        <v>0</v>
      </c>
      <c r="T57" s="5">
        <f>IF(T$27&gt;250000,21500+(T$27-250000)*0.3,IF(T$27&gt;150000,1500+(T$27-150000)*0.2,IF(T$27&gt;135000,(T$27-135000)*0.1,0)))</f>
        <v>0</v>
      </c>
    </row>
    <row r="58" spans="2:20" x14ac:dyDescent="0.3">
      <c r="B58" s="4" t="s">
        <v>37</v>
      </c>
      <c r="C58" s="5">
        <f>IF(C$27&gt;1000000,110000+(C$27-1000000)*0.3,IF(C$27&gt;500000,10000+(C$27-500000)*0.2,0))</f>
        <v>110000</v>
      </c>
      <c r="D58" s="5">
        <f>IF(D$27&gt;1000000,110000+(D$27-1000000)*0.3,IF(D$27&gt;500000,10000+(D$27-500000)*0.2,0))</f>
        <v>110000</v>
      </c>
      <c r="E58" s="5">
        <f>IF(E$27&gt;1000000,110000+(E$27-1000000)*0.3,IF(E$27&gt;500000,10000+(E$27-500000)*0.2,0))</f>
        <v>0</v>
      </c>
      <c r="F58" s="5">
        <f>IF(F$27&gt;1000000,110000+(F$27-1000000)*0.3,IF(F$27&gt;500000,10000+(F$27-500000)*0.2,0))</f>
        <v>0</v>
      </c>
      <c r="G58" s="5">
        <f>IF(G$27&gt;1000000,110000+(G$27-1000000)*0.3,IF(G$27&gt;500000,10000+(G$27-500000)*0.2,IF(G$27&gt;300000,(G$27-300000)*0.05,0)))-IF(G$27&gt;350000,0,IF(G$27&lt;300001,0,MIN(2500,(G$27-300000)*0.05)))</f>
        <v>0</v>
      </c>
      <c r="H58" s="5">
        <f>IF(H$27&gt;1000000,110000+(H$27-1000000)*0.3,IF(H$27&gt;500000,10000+(H$27-500000)*0.2,IF(H$27&gt;300000,(H$27-300000)*0.05,0)))-IF(H$27&gt;350000,0,IF(H$27&lt;300001,0,MIN(2500,(H$27-300000)*0.05)))</f>
        <v>0</v>
      </c>
      <c r="I58" s="5">
        <f>IF(I$27&gt;1000000,120000+(I$27-1000000)*0.3,IF(I$27&gt;500000,20000+(I$27-500000)*0.2,IF(I$27&gt;350000,(I$27-350000)*0.1,0)))</f>
        <v>0</v>
      </c>
      <c r="J58" s="5">
        <f>IF(J$27&gt;1000000,120000+(J$27-1000000)*0.3,IF(J$27&gt;500000,20000+(J$27-500000)*0.2,IF(J$27&gt;320000,(J$27-320000)*0.1,0)))</f>
        <v>0</v>
      </c>
      <c r="K58" s="5">
        <f>IF(K$27&gt;1000000,120000+(K$27-1000000)*0.3,IF(K$27&gt;500000,20000+(K$27-500000)*0.2,IF(K$27&gt;320000,(K$27-320000)*0.1,0)))</f>
        <v>0</v>
      </c>
      <c r="L58" s="5">
        <f>IF(L$27&gt;1000000,125000+(L$27-1000000)*0.3,IF(L$27&gt;500000,25000+(L$27-500000)*0.2,IF(L$27&gt;270000,(L$27-270000)*0.1,0)))</f>
        <v>0</v>
      </c>
      <c r="M58" s="5">
        <f>IF(M$27&gt;1000000,125000+(M$27-1000000)*0.3,IF(M$27&gt;500000,25000+(M$27-500000)*0.2,IF(M$27&gt;250000,(M$27-250000)*0.1,0)))</f>
        <v>0</v>
      </c>
      <c r="N58" s="5">
        <f>IF(N$27&gt;800000,85000+(N$27-800000)*0.3,IF(N$27&gt;500000,25000+(N$27-500000)*0.2,IF(N$27&gt;250000,(N$27-250000)*0.1,0)))</f>
        <v>0</v>
      </c>
      <c r="O58" s="5">
        <f>IF(O$27&gt;800000,86000+(O$27-800000)*0.3,IF(O$27&gt;500000,26000+(O$27-500000)*0.2,IF(O$27&gt;240000,(O$27-240000)*0.1,0)))</f>
        <v>0</v>
      </c>
      <c r="P58" s="5">
        <f>IF(P$27&gt;500000,46000+(P$27-500000)*0.3,IF(P$27&gt;300000,6000+(P$27-300000)*0.2,IF(P$27&gt;240000,(P$27-240000)*0.1,0)))</f>
        <v>0</v>
      </c>
      <c r="Q58" s="5">
        <f>IF(Q$27&gt;500000,47500+(Q$27-500000)*0.3,IF(Q$27&gt;300000,7500+(Q$27-300000)*0.2,IF(Q$27&gt;225000,(Q$27-225000)*0.1,0)))</f>
        <v>0</v>
      </c>
      <c r="R58" s="5">
        <f>IF(R$27&gt;250000,11000+(R$27-250000)*0.3,IF(R$27&gt;195000,(R$27-195000)*0.2,0))</f>
        <v>0</v>
      </c>
      <c r="S58" s="5">
        <f>IF(S$27&gt;250000,13000+(S$27-250000)*0.3,IF(S$27&gt;185000,(S$27-185000)*0.2,0))</f>
        <v>0</v>
      </c>
      <c r="T58" s="5">
        <f>IF(T$27&gt;250000,13000+(T$27-250000)*0.3,IF(T$27&gt;185000,(T$27-185000)*0.2,0))</f>
        <v>0</v>
      </c>
    </row>
    <row r="59" spans="2:20" x14ac:dyDescent="0.3">
      <c r="B59" s="4" t="s">
        <v>161</v>
      </c>
      <c r="C59" s="4">
        <f>IF(C27&gt;1500000,187500+(C27-1500000)*0.3,IF(C27&gt;1250000,125000+(C27-1250000)*0.25,IF(C27&gt;1000000,75000+(C27-1000000)*0.2,IF(C27&gt;750000,37500+(C27-750000)*0.15,IF(C27&gt;500000,12500+(C27-500000)*0.1,0)))))</f>
        <v>75000</v>
      </c>
      <c r="D59" s="4">
        <f>IF(D27&gt;1500000,187500+(D27-1500000)*0.3,IF(D27&gt;1250000,125000+(D27-1250000)*0.25,IF(D27&gt;1000000,75000+(D27-1000000)*0.2,IF(D27&gt;750000,37500+(D27-750000)*0.15,IF(D27&gt;500000,12500+(D27-500000)*0.1,0)))))</f>
        <v>75000</v>
      </c>
      <c r="E59" s="4">
        <f>IF(E27&gt;1500000,187500+(E27-1500000)*0.3,IF(E27&gt;1250000,125000+(E27-1250000)*0.25,IF(E27&gt;1000000,75000+(E27-1000000)*0.2,IF(E27&gt;750000,37500+(E27-750000)*0.15,IF(E27&gt;500000,12500+(E27-500000)*0.1,0)))))</f>
        <v>0</v>
      </c>
    </row>
  </sheetData>
  <sheetProtection algorithmName="SHA-512" hashValue="8mArkp//oLIKlaSMf0jt/rhBPmzcthioZB67dJYMybs01yuUMU3nrrDWh39GjTf+0bglJtjf9DjN18/xLaK7ng==" saltValue="CChiidI1s0zLo6m7oDgz8g==" spinCount="100000" sheet="1" formatCells="0" formatColumns="0" formatRows="0"/>
  <protectedRanges>
    <protectedRange sqref="D11:T11" name="Range4"/>
    <protectedRange sqref="C10:T10" name="Range3"/>
    <protectedRange sqref="O4:T6" name="Range1"/>
    <protectedRange sqref="C7:T7" name="Range5"/>
  </protectedRanges>
  <mergeCells count="16">
    <mergeCell ref="A1:T1"/>
    <mergeCell ref="A2:T2"/>
    <mergeCell ref="A3:T3"/>
    <mergeCell ref="A4:A6"/>
    <mergeCell ref="O4:T4"/>
    <mergeCell ref="O5:T5"/>
    <mergeCell ref="O6:T6"/>
    <mergeCell ref="O34:S34"/>
    <mergeCell ref="B4:N4"/>
    <mergeCell ref="B5:N5"/>
    <mergeCell ref="B6:N6"/>
    <mergeCell ref="B8:T8"/>
    <mergeCell ref="B12:T12"/>
    <mergeCell ref="B22:S22"/>
    <mergeCell ref="B23:T23"/>
    <mergeCell ref="B33:S33"/>
  </mergeCells>
  <phoneticPr fontId="24" type="noConversion"/>
  <dataValidations count="2">
    <dataValidation type="list" allowBlank="1" showInputMessage="1" showErrorMessage="1" sqref="F7:T7" xr:uid="{00000000-0002-0000-0100-000000000000}">
      <formula1>$AB$5:$AB$7</formula1>
    </dataValidation>
    <dataValidation type="list" allowBlank="1" showInputMessage="1" showErrorMessage="1" sqref="C7:E7" xr:uid="{00000000-0002-0000-0100-000001000000}">
      <formula1>$AB$5:$AB$8</formula1>
    </dataValidation>
  </dataValidations>
  <hyperlinks>
    <hyperlink ref="A1" r:id="rId1" xr:uid="{00000000-0004-0000-0100-000000000000}"/>
  </hyperlinks>
  <pageMargins left="0.7" right="0.7" top="0.75" bottom="0.75" header="0.3" footer="0.3"/>
  <pageSetup paperSize="9" scale="84" orientation="landscape" horizontalDpi="300" verticalDpi="300" r:id="rId2"/>
  <headerFooter alignWithMargins="0">
    <oddHeader>&amp;C&amp;A</oddHeader>
    <oddFooter>&amp;C&amp;"Arial,Bold"Downloaded from :www.simpletaxindia.net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workbookViewId="0">
      <pane xSplit="1" ySplit="5" topLeftCell="B20" activePane="bottomRight" state="frozen"/>
      <selection pane="topRight" activeCell="B1" sqref="B1"/>
      <selection pane="bottomLeft" activeCell="A6" sqref="A6"/>
      <selection pane="bottomRight" activeCell="A25" sqref="A25"/>
    </sheetView>
  </sheetViews>
  <sheetFormatPr defaultRowHeight="13.2" x14ac:dyDescent="0.25"/>
  <cols>
    <col min="1" max="1" width="8" customWidth="1"/>
    <col min="2" max="7" width="12.5546875" customWidth="1"/>
  </cols>
  <sheetData>
    <row r="1" spans="1:7" ht="15.6" x14ac:dyDescent="0.3">
      <c r="A1" s="27"/>
      <c r="B1" s="27"/>
      <c r="C1" s="27"/>
      <c r="D1" s="28" t="s">
        <v>38</v>
      </c>
      <c r="E1" s="27"/>
      <c r="G1" s="29"/>
    </row>
    <row r="2" spans="1:7" x14ac:dyDescent="0.25">
      <c r="A2" s="27"/>
      <c r="B2" s="27"/>
      <c r="C2" s="157" t="s">
        <v>39</v>
      </c>
      <c r="D2" s="157"/>
      <c r="E2" s="157"/>
      <c r="F2" s="27"/>
      <c r="G2" s="27"/>
    </row>
    <row r="3" spans="1:7" ht="13.8" thickBot="1" x14ac:dyDescent="0.3">
      <c r="A3" s="27"/>
      <c r="B3" s="27"/>
      <c r="C3" s="27"/>
      <c r="D3" s="27"/>
      <c r="E3" s="27"/>
      <c r="F3" s="27"/>
      <c r="G3" s="27"/>
    </row>
    <row r="4" spans="1:7" ht="162.75" customHeight="1" x14ac:dyDescent="0.25">
      <c r="A4" s="92" t="s">
        <v>40</v>
      </c>
      <c r="B4" s="93" t="s">
        <v>41</v>
      </c>
      <c r="C4" s="93" t="s">
        <v>42</v>
      </c>
      <c r="D4" s="93" t="s">
        <v>43</v>
      </c>
      <c r="E4" s="93" t="s">
        <v>44</v>
      </c>
      <c r="F4" s="93" t="s">
        <v>45</v>
      </c>
      <c r="G4" s="94" t="s">
        <v>46</v>
      </c>
    </row>
    <row r="5" spans="1:7" x14ac:dyDescent="0.25">
      <c r="A5" s="95" t="s">
        <v>47</v>
      </c>
      <c r="B5" s="30" t="s">
        <v>48</v>
      </c>
      <c r="C5" s="30" t="s">
        <v>49</v>
      </c>
      <c r="D5" s="30" t="s">
        <v>50</v>
      </c>
      <c r="E5" s="30" t="s">
        <v>51</v>
      </c>
      <c r="F5" s="30" t="s">
        <v>52</v>
      </c>
      <c r="G5" s="96" t="s">
        <v>53</v>
      </c>
    </row>
    <row r="6" spans="1:7" ht="28.5" customHeight="1" x14ac:dyDescent="0.25">
      <c r="A6" s="97" t="s">
        <v>16</v>
      </c>
      <c r="B6" s="32">
        <f>calculation!T27-calculation!T26</f>
        <v>0</v>
      </c>
      <c r="C6" s="33">
        <f>calculation!T26</f>
        <v>0</v>
      </c>
      <c r="D6" s="33">
        <f t="shared" ref="D6:D11" si="0">IF(B6="","",SUM(B6:C6))</f>
        <v>0</v>
      </c>
      <c r="E6" s="32">
        <f>calculation!T21</f>
        <v>0</v>
      </c>
      <c r="F6" s="34">
        <f>calculation!T32</f>
        <v>0</v>
      </c>
      <c r="G6" s="98">
        <f t="shared" ref="G6:G11" si="1">F6-E6</f>
        <v>0</v>
      </c>
    </row>
    <row r="7" spans="1:7" ht="28.5" customHeight="1" x14ac:dyDescent="0.25">
      <c r="A7" s="97" t="s">
        <v>15</v>
      </c>
      <c r="B7" s="32">
        <f>calculation!S27-calculation!S26</f>
        <v>0</v>
      </c>
      <c r="C7" s="33">
        <f>calculation!S26</f>
        <v>0</v>
      </c>
      <c r="D7" s="33">
        <f t="shared" si="0"/>
        <v>0</v>
      </c>
      <c r="E7" s="32">
        <f>calculation!S21</f>
        <v>0</v>
      </c>
      <c r="F7" s="32">
        <f>calculation!S32</f>
        <v>0</v>
      </c>
      <c r="G7" s="98">
        <f t="shared" si="1"/>
        <v>0</v>
      </c>
    </row>
    <row r="8" spans="1:7" ht="28.5" customHeight="1" x14ac:dyDescent="0.25">
      <c r="A8" s="97" t="s">
        <v>14</v>
      </c>
      <c r="B8" s="32">
        <f>calculation!R27-calculation!R26</f>
        <v>0</v>
      </c>
      <c r="C8" s="33">
        <f>calculation!R26</f>
        <v>0</v>
      </c>
      <c r="D8" s="33">
        <f t="shared" si="0"/>
        <v>0</v>
      </c>
      <c r="E8" s="32">
        <f>calculation!R21</f>
        <v>0</v>
      </c>
      <c r="F8" s="32">
        <f>calculation!R32</f>
        <v>0</v>
      </c>
      <c r="G8" s="98">
        <f t="shared" si="1"/>
        <v>0</v>
      </c>
    </row>
    <row r="9" spans="1:7" ht="28.5" customHeight="1" x14ac:dyDescent="0.25">
      <c r="A9" s="97" t="s">
        <v>13</v>
      </c>
      <c r="B9" s="32">
        <f>calculation!Q27-calculation!Q26</f>
        <v>0</v>
      </c>
      <c r="C9" s="33">
        <f>calculation!Q26</f>
        <v>0</v>
      </c>
      <c r="D9" s="33">
        <f t="shared" si="0"/>
        <v>0</v>
      </c>
      <c r="E9" s="32">
        <f>calculation!Q21</f>
        <v>0</v>
      </c>
      <c r="F9" s="32">
        <f>calculation!Q32</f>
        <v>0</v>
      </c>
      <c r="G9" s="98">
        <f t="shared" si="1"/>
        <v>0</v>
      </c>
    </row>
    <row r="10" spans="1:7" ht="28.5" customHeight="1" x14ac:dyDescent="0.25">
      <c r="A10" s="97" t="s">
        <v>12</v>
      </c>
      <c r="B10" s="32">
        <f>calculation!P16</f>
        <v>0</v>
      </c>
      <c r="C10" s="33">
        <f>calculation!P11</f>
        <v>0</v>
      </c>
      <c r="D10" s="33">
        <f t="shared" si="0"/>
        <v>0</v>
      </c>
      <c r="E10" s="32">
        <f>calculation!P21</f>
        <v>0</v>
      </c>
      <c r="F10" s="32">
        <f>calculation!P32</f>
        <v>0</v>
      </c>
      <c r="G10" s="98">
        <f t="shared" si="1"/>
        <v>0</v>
      </c>
    </row>
    <row r="11" spans="1:7" ht="28.5" customHeight="1" x14ac:dyDescent="0.25">
      <c r="A11" s="97" t="s">
        <v>11</v>
      </c>
      <c r="B11" s="32">
        <f>calculation!O10</f>
        <v>0</v>
      </c>
      <c r="C11" s="33">
        <f>calculation!O11</f>
        <v>0</v>
      </c>
      <c r="D11" s="33">
        <f t="shared" si="0"/>
        <v>0</v>
      </c>
      <c r="E11" s="32">
        <f>calculation!O21</f>
        <v>0</v>
      </c>
      <c r="F11" s="32">
        <f>calculation!O32</f>
        <v>0</v>
      </c>
      <c r="G11" s="98">
        <f t="shared" si="1"/>
        <v>0</v>
      </c>
    </row>
    <row r="12" spans="1:7" ht="28.5" customHeight="1" x14ac:dyDescent="0.25">
      <c r="A12" s="97" t="s">
        <v>10</v>
      </c>
      <c r="B12" s="32">
        <f>calculation!N25</f>
        <v>0</v>
      </c>
      <c r="C12" s="72">
        <f>calculation!N26</f>
        <v>0</v>
      </c>
      <c r="D12" s="33">
        <f t="shared" ref="D12:D22" si="2">IF(B12="","",SUM(B12:C12))</f>
        <v>0</v>
      </c>
      <c r="E12" s="32">
        <f>calculation!N21</f>
        <v>0</v>
      </c>
      <c r="F12" s="32">
        <f>calculation!N32</f>
        <v>0</v>
      </c>
      <c r="G12" s="98">
        <f t="shared" ref="G12:G22" si="3">F12-E12</f>
        <v>0</v>
      </c>
    </row>
    <row r="13" spans="1:7" ht="28.5" customHeight="1" x14ac:dyDescent="0.25">
      <c r="A13" s="97" t="s">
        <v>140</v>
      </c>
      <c r="B13" s="32">
        <f>calculation!M10</f>
        <v>0</v>
      </c>
      <c r="C13" s="72">
        <f>calculation!M11</f>
        <v>0</v>
      </c>
      <c r="D13" s="33">
        <f t="shared" si="2"/>
        <v>0</v>
      </c>
      <c r="E13" s="32">
        <f>calculation!M21</f>
        <v>0</v>
      </c>
      <c r="F13" s="32">
        <f>calculation!M32</f>
        <v>0</v>
      </c>
      <c r="G13" s="98">
        <f t="shared" si="3"/>
        <v>0</v>
      </c>
    </row>
    <row r="14" spans="1:7" ht="28.5" customHeight="1" x14ac:dyDescent="0.25">
      <c r="A14" s="97" t="s">
        <v>141</v>
      </c>
      <c r="B14" s="32">
        <f>calculation!L10</f>
        <v>0</v>
      </c>
      <c r="C14" s="72">
        <f>calculation!L11</f>
        <v>0</v>
      </c>
      <c r="D14" s="33">
        <f t="shared" si="2"/>
        <v>0</v>
      </c>
      <c r="E14" s="32">
        <f>calculation!L21</f>
        <v>0</v>
      </c>
      <c r="F14" s="32">
        <f>calculation!L32</f>
        <v>0</v>
      </c>
      <c r="G14" s="98">
        <f t="shared" si="3"/>
        <v>0</v>
      </c>
    </row>
    <row r="15" spans="1:7" ht="28.5" customHeight="1" x14ac:dyDescent="0.25">
      <c r="A15" s="97" t="s">
        <v>144</v>
      </c>
      <c r="B15" s="32">
        <f>calculation!K10</f>
        <v>0</v>
      </c>
      <c r="C15" s="32">
        <f>calculation!K11</f>
        <v>0</v>
      </c>
      <c r="D15" s="33">
        <f t="shared" si="2"/>
        <v>0</v>
      </c>
      <c r="E15" s="32">
        <f>calculation!K21</f>
        <v>0</v>
      </c>
      <c r="F15" s="32">
        <f>calculation!K32</f>
        <v>0</v>
      </c>
      <c r="G15" s="98">
        <f t="shared" si="3"/>
        <v>0</v>
      </c>
    </row>
    <row r="16" spans="1:7" ht="28.5" customHeight="1" x14ac:dyDescent="0.25">
      <c r="A16" s="97" t="s">
        <v>145</v>
      </c>
      <c r="B16" s="32">
        <f>calculation!J10</f>
        <v>0</v>
      </c>
      <c r="C16" s="32">
        <f>calculation!J11</f>
        <v>0</v>
      </c>
      <c r="D16" s="33">
        <f t="shared" si="2"/>
        <v>0</v>
      </c>
      <c r="E16" s="32">
        <f>calculation!J21</f>
        <v>0</v>
      </c>
      <c r="F16" s="32">
        <f>calculation!J32</f>
        <v>0</v>
      </c>
      <c r="G16" s="98">
        <f t="shared" si="3"/>
        <v>0</v>
      </c>
    </row>
    <row r="17" spans="1:7" ht="28.5" customHeight="1" x14ac:dyDescent="0.25">
      <c r="A17" s="97" t="s">
        <v>146</v>
      </c>
      <c r="B17" s="32">
        <f>calculation!I10</f>
        <v>0</v>
      </c>
      <c r="C17" s="32">
        <f>calculation!I11</f>
        <v>0</v>
      </c>
      <c r="D17" s="33">
        <f t="shared" si="2"/>
        <v>0</v>
      </c>
      <c r="E17" s="32">
        <f>calculation!I21</f>
        <v>0</v>
      </c>
      <c r="F17" s="32">
        <f>calculation!I32</f>
        <v>0</v>
      </c>
      <c r="G17" s="98">
        <f t="shared" si="3"/>
        <v>0</v>
      </c>
    </row>
    <row r="18" spans="1:7" ht="28.5" customHeight="1" x14ac:dyDescent="0.25">
      <c r="A18" s="97" t="s">
        <v>149</v>
      </c>
      <c r="B18" s="32">
        <f>calculation!H10</f>
        <v>0</v>
      </c>
      <c r="C18" s="32">
        <f>calculation!H11</f>
        <v>0</v>
      </c>
      <c r="D18" s="33">
        <f t="shared" si="2"/>
        <v>0</v>
      </c>
      <c r="E18" s="32">
        <f>calculation!H21</f>
        <v>0</v>
      </c>
      <c r="F18" s="32">
        <f>calculation!H32</f>
        <v>0</v>
      </c>
      <c r="G18" s="98">
        <f t="shared" si="3"/>
        <v>0</v>
      </c>
    </row>
    <row r="19" spans="1:7" ht="28.5" customHeight="1" x14ac:dyDescent="0.25">
      <c r="A19" s="97" t="s">
        <v>151</v>
      </c>
      <c r="B19" s="32">
        <f>calculation!G10</f>
        <v>0</v>
      </c>
      <c r="C19" s="32">
        <f>calculation!G11</f>
        <v>0</v>
      </c>
      <c r="D19" s="33">
        <f t="shared" si="2"/>
        <v>0</v>
      </c>
      <c r="E19" s="32">
        <f>calculation!G21</f>
        <v>0</v>
      </c>
      <c r="F19" s="32">
        <f>calculation!G32</f>
        <v>0</v>
      </c>
      <c r="G19" s="124">
        <f t="shared" si="3"/>
        <v>0</v>
      </c>
    </row>
    <row r="20" spans="1:7" ht="28.5" customHeight="1" x14ac:dyDescent="0.25">
      <c r="A20" s="97" t="s">
        <v>153</v>
      </c>
      <c r="B20" s="32">
        <f>calculation!F10</f>
        <v>0</v>
      </c>
      <c r="C20" s="32">
        <f>calculation!F11</f>
        <v>0</v>
      </c>
      <c r="D20" s="33">
        <f t="shared" si="2"/>
        <v>0</v>
      </c>
      <c r="E20" s="32">
        <f>calculation!F21</f>
        <v>0</v>
      </c>
      <c r="F20" s="32">
        <f>calculation!F32</f>
        <v>0</v>
      </c>
      <c r="G20" s="124">
        <f t="shared" si="3"/>
        <v>0</v>
      </c>
    </row>
    <row r="21" spans="1:7" ht="28.5" customHeight="1" x14ac:dyDescent="0.25">
      <c r="A21" s="97" t="s">
        <v>157</v>
      </c>
      <c r="B21" s="32">
        <f>calculation!E10</f>
        <v>0</v>
      </c>
      <c r="C21" s="32">
        <f>calculation!E11</f>
        <v>0</v>
      </c>
      <c r="D21" s="33">
        <f t="shared" si="2"/>
        <v>0</v>
      </c>
      <c r="E21" s="32">
        <f>calculation!E21</f>
        <v>0</v>
      </c>
      <c r="F21" s="123">
        <f>calculation!E32</f>
        <v>0</v>
      </c>
      <c r="G21" s="124">
        <f t="shared" si="3"/>
        <v>0</v>
      </c>
    </row>
    <row r="22" spans="1:7" ht="28.5" customHeight="1" x14ac:dyDescent="0.25">
      <c r="A22" s="97" t="s">
        <v>164</v>
      </c>
      <c r="B22" s="32">
        <f>calculation!D10</f>
        <v>900000</v>
      </c>
      <c r="C22" s="32">
        <f>calculation!D11</f>
        <v>100000</v>
      </c>
      <c r="D22" s="33">
        <f t="shared" si="2"/>
        <v>1000000</v>
      </c>
      <c r="E22" s="32">
        <f>calculation!D21</f>
        <v>96200</v>
      </c>
      <c r="F22" s="123">
        <f>calculation!D32</f>
        <v>117000</v>
      </c>
      <c r="G22" s="127">
        <f t="shared" si="3"/>
        <v>20800</v>
      </c>
    </row>
    <row r="23" spans="1:7" ht="28.5" customHeight="1" thickBot="1" x14ac:dyDescent="0.3">
      <c r="A23" s="128" t="s">
        <v>54</v>
      </c>
      <c r="B23" s="129">
        <f>SUM(B6:B22)</f>
        <v>900000</v>
      </c>
      <c r="C23" s="129">
        <f t="shared" ref="C23:G23" si="4">SUM(C6:C22)</f>
        <v>100000</v>
      </c>
      <c r="D23" s="129">
        <f t="shared" si="4"/>
        <v>1000000</v>
      </c>
      <c r="E23" s="129">
        <f t="shared" si="4"/>
        <v>96200</v>
      </c>
      <c r="F23" s="129">
        <f t="shared" si="4"/>
        <v>117000</v>
      </c>
      <c r="G23" s="130">
        <f t="shared" si="4"/>
        <v>20800</v>
      </c>
    </row>
    <row r="24" spans="1:7" x14ac:dyDescent="0.25">
      <c r="A24" s="99"/>
      <c r="B24" s="27"/>
      <c r="C24" s="27"/>
      <c r="G24" s="100"/>
    </row>
    <row r="25" spans="1:7" x14ac:dyDescent="0.25">
      <c r="A25" s="99"/>
      <c r="B25" s="27"/>
      <c r="C25" s="27"/>
      <c r="D25" s="122" t="s">
        <v>55</v>
      </c>
      <c r="E25" s="90"/>
      <c r="F25" s="90"/>
      <c r="G25" s="100"/>
    </row>
    <row r="26" spans="1:7" x14ac:dyDescent="0.25">
      <c r="A26" s="99"/>
      <c r="B26" s="27"/>
      <c r="C26" s="27"/>
      <c r="D26" s="122"/>
      <c r="E26" s="90"/>
      <c r="F26" s="90"/>
      <c r="G26" s="100"/>
    </row>
    <row r="27" spans="1:7" x14ac:dyDescent="0.25">
      <c r="A27" s="99" t="s">
        <v>57</v>
      </c>
      <c r="B27" s="158"/>
      <c r="C27" s="158"/>
      <c r="D27" s="36" t="s">
        <v>56</v>
      </c>
      <c r="E27" s="159" t="str">
        <f>calculation!O4</f>
        <v>BHANU GUPTA</v>
      </c>
      <c r="F27" s="159"/>
      <c r="G27" s="160"/>
    </row>
    <row r="28" spans="1:7" x14ac:dyDescent="0.25">
      <c r="A28" s="99" t="s">
        <v>59</v>
      </c>
      <c r="B28" s="156"/>
      <c r="C28" s="156"/>
      <c r="D28" s="36" t="s">
        <v>58</v>
      </c>
      <c r="E28" s="91" t="str">
        <f>calculation!O5</f>
        <v>PSPCL</v>
      </c>
      <c r="F28" s="91"/>
      <c r="G28" s="121"/>
    </row>
    <row r="29" spans="1:7" ht="13.8" thickBot="1" x14ac:dyDescent="0.3">
      <c r="A29" s="101"/>
      <c r="B29" s="102"/>
      <c r="C29" s="102"/>
      <c r="D29" s="102"/>
      <c r="E29" s="102"/>
      <c r="F29" s="102"/>
      <c r="G29" s="103"/>
    </row>
    <row r="31" spans="1:7" x14ac:dyDescent="0.25">
      <c r="B31" s="41"/>
      <c r="C31" s="41"/>
      <c r="D31" s="41"/>
      <c r="E31" s="41"/>
      <c r="F31" s="41"/>
      <c r="G31" s="41"/>
    </row>
  </sheetData>
  <sheetProtection algorithmName="SHA-512" hashValue="MBCb2JynechLqpcxtx8KZJ0YaZjINBvBeYyHuesPCuXKKIIOZvy9tyM692Qax6B/X7fuCHPMv2AGXVXx2CIQFw==" saltValue="mduISbyNooIVTTJ0fND5Rg==" spinCount="100000" sheet="1" objects="1" scenarios="1"/>
  <mergeCells count="4">
    <mergeCell ref="B28:C28"/>
    <mergeCell ref="C2:E2"/>
    <mergeCell ref="B27:C27"/>
    <mergeCell ref="E27:G27"/>
  </mergeCells>
  <phoneticPr fontId="24" type="noConversion"/>
  <pageMargins left="0.78749999999999998" right="0.78749999999999998" top="1.575" bottom="1.0249999999999999" header="0.78749999999999998" footer="0.78749999999999998"/>
  <pageSetup paperSize="9" scale="95" orientation="portrait" horizontalDpi="300" verticalDpi="300" r:id="rId1"/>
  <headerFooter alignWithMargins="0">
    <oddHeader>&amp;C&amp;A</oddHeader>
    <oddFooter>&amp;C&amp;"Arial,Bold"Download Free from :www.simpletaxindia.net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89"/>
  <sheetViews>
    <sheetView workbookViewId="0">
      <selection activeCell="B1" sqref="B1:H1"/>
    </sheetView>
  </sheetViews>
  <sheetFormatPr defaultRowHeight="13.2" x14ac:dyDescent="0.25"/>
  <cols>
    <col min="1" max="1" width="4.5546875" customWidth="1"/>
    <col min="2" max="2" width="5" customWidth="1"/>
    <col min="3" max="3" width="10.6640625" customWidth="1"/>
    <col min="4" max="4" width="11.33203125" customWidth="1"/>
    <col min="5" max="5" width="11.109375" customWidth="1"/>
    <col min="6" max="6" width="11.33203125" customWidth="1"/>
    <col min="7" max="7" width="19.109375" customWidth="1"/>
    <col min="8" max="8" width="18.33203125" customWidth="1"/>
  </cols>
  <sheetData>
    <row r="1" spans="2:8" ht="19.350000000000001" customHeight="1" x14ac:dyDescent="0.35">
      <c r="B1" s="167" t="s">
        <v>0</v>
      </c>
      <c r="C1" s="168"/>
      <c r="D1" s="168"/>
      <c r="E1" s="168"/>
      <c r="F1" s="168"/>
      <c r="G1" s="168"/>
      <c r="H1" s="168"/>
    </row>
    <row r="2" spans="2:8" ht="14.4" customHeight="1" x14ac:dyDescent="0.3">
      <c r="B2" s="169" t="s">
        <v>1</v>
      </c>
      <c r="C2" s="169"/>
      <c r="D2" s="169"/>
      <c r="E2" s="169"/>
      <c r="F2" s="169"/>
      <c r="G2" s="169"/>
      <c r="H2" s="169"/>
    </row>
    <row r="3" spans="2:8" ht="15.6" x14ac:dyDescent="0.3">
      <c r="B3" s="27"/>
      <c r="C3" s="27"/>
      <c r="D3" s="42"/>
      <c r="E3" s="170" t="s">
        <v>60</v>
      </c>
      <c r="F3" s="170"/>
      <c r="H3" s="29"/>
    </row>
    <row r="4" spans="2:8" x14ac:dyDescent="0.25">
      <c r="B4" s="27"/>
      <c r="C4" s="171" t="s">
        <v>61</v>
      </c>
      <c r="D4" s="171"/>
      <c r="E4" s="171"/>
      <c r="F4" s="171"/>
      <c r="G4" s="171"/>
      <c r="H4" s="27"/>
    </row>
    <row r="5" spans="2:8" x14ac:dyDescent="0.25">
      <c r="B5" s="27"/>
      <c r="C5" s="172" t="s">
        <v>62</v>
      </c>
      <c r="D5" s="172"/>
      <c r="E5" s="172"/>
      <c r="F5" s="172"/>
      <c r="G5" s="172"/>
      <c r="H5" s="27"/>
    </row>
    <row r="6" spans="2:8" ht="13.8" thickBot="1" x14ac:dyDescent="0.3">
      <c r="B6" s="27"/>
      <c r="C6" s="27"/>
      <c r="D6" s="27"/>
      <c r="E6" s="27"/>
      <c r="F6" s="27"/>
      <c r="G6" s="27"/>
      <c r="H6" s="27"/>
    </row>
    <row r="7" spans="2:8" ht="28.2" thickBot="1" x14ac:dyDescent="0.3">
      <c r="B7" s="104" t="s">
        <v>63</v>
      </c>
      <c r="C7" s="166" t="s">
        <v>64</v>
      </c>
      <c r="D7" s="166"/>
      <c r="E7" s="166"/>
      <c r="F7" s="166"/>
      <c r="G7" s="166"/>
      <c r="H7" s="105" t="s">
        <v>65</v>
      </c>
    </row>
    <row r="8" spans="2:8" ht="19.5" customHeight="1" thickTop="1" x14ac:dyDescent="0.25">
      <c r="B8" s="106">
        <v>1</v>
      </c>
      <c r="C8" s="165" t="s">
        <v>66</v>
      </c>
      <c r="D8" s="165"/>
      <c r="E8" s="165"/>
      <c r="F8" s="165"/>
      <c r="G8" s="165"/>
      <c r="H8" s="107">
        <f>calculation!C14</f>
        <v>1000000</v>
      </c>
    </row>
    <row r="9" spans="2:8" ht="17.25" customHeight="1" x14ac:dyDescent="0.25">
      <c r="B9" s="108">
        <v>2</v>
      </c>
      <c r="C9" s="163" t="s">
        <v>67</v>
      </c>
      <c r="D9" s="163"/>
      <c r="E9" s="163"/>
      <c r="F9" s="163"/>
      <c r="G9" s="163"/>
      <c r="H9" s="109">
        <f>calculation!C15</f>
        <v>100000</v>
      </c>
    </row>
    <row r="10" spans="2:8" ht="29.25" customHeight="1" x14ac:dyDescent="0.25">
      <c r="B10" s="108">
        <v>3</v>
      </c>
      <c r="C10" s="163" t="s">
        <v>68</v>
      </c>
      <c r="D10" s="163"/>
      <c r="E10" s="163"/>
      <c r="F10" s="163"/>
      <c r="G10" s="163"/>
      <c r="H10" s="109">
        <f>SUM(H8:H9)</f>
        <v>1100000</v>
      </c>
    </row>
    <row r="11" spans="2:8" ht="18.75" customHeight="1" x14ac:dyDescent="0.25">
      <c r="B11" s="108">
        <v>4</v>
      </c>
      <c r="C11" s="163" t="s">
        <v>69</v>
      </c>
      <c r="D11" s="163"/>
      <c r="E11" s="163"/>
      <c r="F11" s="163"/>
      <c r="G11" s="163"/>
      <c r="H11" s="109">
        <f>calculation!C21</f>
        <v>148200</v>
      </c>
    </row>
    <row r="12" spans="2:8" ht="17.25" customHeight="1" x14ac:dyDescent="0.25">
      <c r="B12" s="108">
        <v>5</v>
      </c>
      <c r="C12" s="163" t="s">
        <v>70</v>
      </c>
      <c r="D12" s="163"/>
      <c r="E12" s="163"/>
      <c r="F12" s="163"/>
      <c r="G12" s="163"/>
      <c r="H12" s="110">
        <f>calculation!C32</f>
        <v>117000</v>
      </c>
    </row>
    <row r="13" spans="2:8" ht="23.85" customHeight="1" x14ac:dyDescent="0.25">
      <c r="B13" s="108">
        <v>6</v>
      </c>
      <c r="C13" s="163" t="s">
        <v>71</v>
      </c>
      <c r="D13" s="163"/>
      <c r="E13" s="163"/>
      <c r="F13" s="163"/>
      <c r="G13" s="163"/>
      <c r="H13" s="109">
        <f>SUM(H11-H12)</f>
        <v>31200</v>
      </c>
    </row>
    <row r="14" spans="2:8" ht="23.85" customHeight="1" x14ac:dyDescent="0.25">
      <c r="B14" s="108">
        <v>7</v>
      </c>
      <c r="C14" s="163" t="s">
        <v>72</v>
      </c>
      <c r="D14" s="163"/>
      <c r="E14" s="163"/>
      <c r="F14" s="163"/>
      <c r="G14" s="163"/>
      <c r="H14" s="109">
        <f>'Table A'!G23</f>
        <v>20800</v>
      </c>
    </row>
    <row r="15" spans="2:8" ht="28.5" customHeight="1" thickBot="1" x14ac:dyDescent="0.3">
      <c r="B15" s="111">
        <v>8</v>
      </c>
      <c r="C15" s="161" t="s">
        <v>73</v>
      </c>
      <c r="D15" s="161"/>
      <c r="E15" s="161"/>
      <c r="F15" s="161"/>
      <c r="G15" s="161"/>
      <c r="H15" s="112">
        <f>IF(SUM(H13-H14)&lt;1,0,SUM(H13-H14))</f>
        <v>10400</v>
      </c>
    </row>
    <row r="16" spans="2:8" ht="20.25" customHeight="1" x14ac:dyDescent="0.25">
      <c r="B16" s="27"/>
      <c r="C16" s="43" t="str">
        <f>IF(SUM(H13-H14)&lt;0,"Sorry! No relief available because Sl no. 6 is less than Sl no. 7","")</f>
        <v/>
      </c>
      <c r="D16" s="27"/>
      <c r="E16" s="27"/>
      <c r="F16" s="27"/>
    </row>
    <row r="17" spans="2:8" x14ac:dyDescent="0.25">
      <c r="B17" s="27"/>
      <c r="C17" s="27"/>
      <c r="D17" s="27"/>
      <c r="E17" s="27"/>
      <c r="F17" s="27"/>
    </row>
    <row r="18" spans="2:8" x14ac:dyDescent="0.25">
      <c r="B18" s="27"/>
      <c r="C18" s="27"/>
      <c r="D18" s="27"/>
      <c r="E18" s="27"/>
      <c r="F18" s="27"/>
      <c r="G18" s="44"/>
      <c r="H18" s="44"/>
    </row>
    <row r="19" spans="2:8" x14ac:dyDescent="0.25">
      <c r="B19" s="27"/>
      <c r="C19" s="27"/>
      <c r="D19" s="27"/>
      <c r="F19" s="162" t="s">
        <v>55</v>
      </c>
      <c r="G19" s="44"/>
      <c r="H19" s="44"/>
    </row>
    <row r="20" spans="2:8" x14ac:dyDescent="0.25">
      <c r="B20" s="27"/>
      <c r="C20" s="27"/>
      <c r="D20" s="27"/>
      <c r="F20" s="162"/>
    </row>
    <row r="21" spans="2:8" ht="12.75" customHeight="1" x14ac:dyDescent="0.25">
      <c r="B21" s="27"/>
      <c r="C21" s="27"/>
      <c r="D21" s="27"/>
      <c r="F21" s="36" t="s">
        <v>56</v>
      </c>
      <c r="G21" s="164" t="str">
        <f>calculation!O4</f>
        <v>BHANU GUPTA</v>
      </c>
      <c r="H21" s="164"/>
    </row>
    <row r="22" spans="2:8" x14ac:dyDescent="0.25">
      <c r="G22" s="164"/>
      <c r="H22" s="164"/>
    </row>
    <row r="23" spans="2:8" x14ac:dyDescent="0.25">
      <c r="C23" s="44"/>
      <c r="D23" s="44"/>
      <c r="E23" s="44"/>
      <c r="F23" s="44"/>
    </row>
    <row r="24" spans="2:8" x14ac:dyDescent="0.25">
      <c r="C24" s="44"/>
      <c r="D24" s="44"/>
      <c r="E24" s="44"/>
      <c r="F24" s="44"/>
    </row>
    <row r="86" spans="8:8" x14ac:dyDescent="0.25">
      <c r="H86" s="45">
        <f>ROUND(H8,-1)</f>
        <v>1000000</v>
      </c>
    </row>
    <row r="87" spans="8:8" x14ac:dyDescent="0.25">
      <c r="H87" s="46">
        <f>IF('___IT calc'!I10&gt;64,IF(H86&gt;250000,ROUND((H86-250000)*0.3+13000,0),IF((H86-185000)*0.2&lt;0,0,ROUND((H86-185000)*0.2,0))),IF(AND('___IT calc'!E9="F",'___IT calc'!I10&lt;65),IF(H86&gt;250000,ROUND((H86-250000)*0.3+21500,0),IF(H86&gt;150000,ROUND((H86-150000)*0.2+1500,0),IF((H86-135000)*0.1&lt;0,0,ROUND((H86-135000)*0.1,0)))),IF(H86&gt;250000,ROUND((H86-250000)*0.3+25000,0),IF(H86&gt;150000,ROUND((H86-150000)*0.2+5000,0),IF((H86-100000)*0.1&lt;0,0,ROUND((H86-100000)*0.1,0))))))</f>
        <v>250000</v>
      </c>
    </row>
    <row r="88" spans="8:8" x14ac:dyDescent="0.25">
      <c r="H88" s="45">
        <f>ROUND(SUM(H87*0.02),0)</f>
        <v>5000</v>
      </c>
    </row>
    <row r="89" spans="8:8" x14ac:dyDescent="0.25">
      <c r="H89" s="45">
        <f>SUM(H87:H88)</f>
        <v>255000</v>
      </c>
    </row>
  </sheetData>
  <sheetProtection algorithmName="SHA-512" hashValue="3CvYwFahyMkG0N5rpTN+bvdjxqjofLCfjSEIGgPRXyDlQ9Puvv02Gm+kMteE+zRbdwk+CfjsbzygxlZ5HIrfQA==" saltValue="DUMHG1mYhNI9XMj1Dodz2g==" spinCount="100000" sheet="1" objects="1" scenarios="1"/>
  <mergeCells count="16">
    <mergeCell ref="C7:G7"/>
    <mergeCell ref="B1:H1"/>
    <mergeCell ref="B2:H2"/>
    <mergeCell ref="E3:F3"/>
    <mergeCell ref="C4:G4"/>
    <mergeCell ref="C5:G5"/>
    <mergeCell ref="C15:G15"/>
    <mergeCell ref="F19:F20"/>
    <mergeCell ref="C13:G13"/>
    <mergeCell ref="G21:H22"/>
    <mergeCell ref="C8:G8"/>
    <mergeCell ref="C9:G9"/>
    <mergeCell ref="C10:G10"/>
    <mergeCell ref="C11:G11"/>
    <mergeCell ref="C12:G12"/>
    <mergeCell ref="C14:G14"/>
  </mergeCells>
  <phoneticPr fontId="24" type="noConversion"/>
  <hyperlinks>
    <hyperlink ref="B1" r:id="rId1" xr:uid="{00000000-0004-0000-0300-000000000000}"/>
  </hyperlinks>
  <pageMargins left="0.78749999999999998" right="0.78749999999999998" top="1.575" bottom="1.0249999999999999" header="0.78749999999999998" footer="0.78749999999999998"/>
  <pageSetup paperSize="9" scale="95" orientation="portrait" horizontalDpi="300" verticalDpi="300" r:id="rId2"/>
  <headerFooter alignWithMargins="0">
    <oddHeader>&amp;C&amp;A</oddHeader>
    <oddFooter>&amp;CDownload Free from :www.simpletaxindia.net</oddFooter>
  </headerFooter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topLeftCell="A11" workbookViewId="0">
      <selection activeCell="B31" sqref="B31"/>
    </sheetView>
  </sheetViews>
  <sheetFormatPr defaultRowHeight="13.2" x14ac:dyDescent="0.25"/>
  <cols>
    <col min="1" max="1" width="5.44140625" customWidth="1"/>
    <col min="2" max="2" width="34.88671875" customWidth="1"/>
    <col min="3" max="3" width="12.6640625" customWidth="1"/>
    <col min="4" max="4" width="17.33203125" customWidth="1"/>
    <col min="5" max="5" width="14.33203125" customWidth="1"/>
    <col min="6" max="8" width="0" style="47" hidden="1" customWidth="1"/>
  </cols>
  <sheetData>
    <row r="1" spans="1:8" ht="20.25" customHeight="1" x14ac:dyDescent="0.35">
      <c r="A1" s="167" t="s">
        <v>0</v>
      </c>
      <c r="B1" s="168"/>
      <c r="C1" s="168"/>
      <c r="D1" s="168"/>
      <c r="E1" s="168"/>
      <c r="F1"/>
      <c r="G1"/>
      <c r="H1"/>
    </row>
    <row r="2" spans="1:8" ht="15.75" customHeight="1" x14ac:dyDescent="0.3">
      <c r="A2" s="169" t="s">
        <v>1</v>
      </c>
      <c r="B2" s="169"/>
      <c r="C2" s="169"/>
      <c r="D2" s="169"/>
      <c r="E2" s="169"/>
      <c r="F2"/>
      <c r="G2"/>
      <c r="H2"/>
    </row>
    <row r="4" spans="1:8" ht="12.75" customHeight="1" x14ac:dyDescent="0.3">
      <c r="A4" s="184" t="s">
        <v>74</v>
      </c>
      <c r="B4" s="184"/>
      <c r="C4" s="184"/>
      <c r="D4" s="184"/>
      <c r="E4" s="184"/>
      <c r="G4"/>
      <c r="H4"/>
    </row>
    <row r="5" spans="1:8" x14ac:dyDescent="0.25">
      <c r="A5" s="185" t="s">
        <v>75</v>
      </c>
      <c r="B5" s="185"/>
      <c r="C5" s="185"/>
      <c r="D5" s="185"/>
      <c r="E5" s="185"/>
      <c r="G5"/>
      <c r="H5"/>
    </row>
    <row r="6" spans="1:8" ht="37.5" customHeight="1" x14ac:dyDescent="0.25">
      <c r="A6" s="27"/>
      <c r="B6" s="179" t="s">
        <v>168</v>
      </c>
      <c r="C6" s="179"/>
      <c r="D6" s="179"/>
      <c r="E6" s="179"/>
    </row>
    <row r="7" spans="1:8" ht="45.75" customHeight="1" x14ac:dyDescent="0.25">
      <c r="A7" s="48">
        <v>1</v>
      </c>
      <c r="B7" s="49" t="s">
        <v>76</v>
      </c>
      <c r="C7" s="180" t="str">
        <f>calculation!O4</f>
        <v>BHANU GUPTA</v>
      </c>
      <c r="D7" s="180"/>
      <c r="E7" s="180"/>
      <c r="F7" s="50" t="s">
        <v>77</v>
      </c>
    </row>
    <row r="8" spans="1:8" ht="16.5" customHeight="1" x14ac:dyDescent="0.25">
      <c r="A8" s="51">
        <v>2</v>
      </c>
      <c r="B8" s="31" t="s">
        <v>78</v>
      </c>
      <c r="C8" s="181" t="str">
        <f>calculation!O6</f>
        <v>AAAPG7777R</v>
      </c>
      <c r="D8" s="181"/>
      <c r="E8" s="181"/>
      <c r="F8" s="50" t="s">
        <v>79</v>
      </c>
      <c r="G8" s="47" t="s">
        <v>80</v>
      </c>
      <c r="H8" s="52">
        <v>2009</v>
      </c>
    </row>
    <row r="9" spans="1:8" x14ac:dyDescent="0.25">
      <c r="A9" s="53">
        <v>3</v>
      </c>
      <c r="B9" s="54" t="s">
        <v>81</v>
      </c>
      <c r="C9" s="182" t="s">
        <v>82</v>
      </c>
      <c r="D9" s="182"/>
      <c r="E9" s="182"/>
      <c r="F9" s="50" t="s">
        <v>83</v>
      </c>
      <c r="G9" s="47" t="s">
        <v>84</v>
      </c>
    </row>
    <row r="10" spans="1:8" ht="36" customHeight="1" x14ac:dyDescent="0.25">
      <c r="A10" s="55"/>
      <c r="B10" s="186" t="s">
        <v>169</v>
      </c>
      <c r="C10" s="186"/>
      <c r="D10" s="186"/>
      <c r="E10" s="186"/>
      <c r="F10" s="50" t="s">
        <v>85</v>
      </c>
      <c r="G10" s="47" t="s">
        <v>86</v>
      </c>
    </row>
    <row r="11" spans="1:8" ht="24" customHeight="1" x14ac:dyDescent="0.25">
      <c r="A11" s="56" t="s">
        <v>87</v>
      </c>
      <c r="B11" s="183" t="s">
        <v>88</v>
      </c>
      <c r="C11" s="183"/>
      <c r="D11" s="183"/>
      <c r="E11" s="57">
        <f>calculation!C11</f>
        <v>100000</v>
      </c>
      <c r="F11" s="50" t="s">
        <v>89</v>
      </c>
      <c r="G11" s="47" t="s">
        <v>90</v>
      </c>
    </row>
    <row r="12" spans="1:8" ht="38.25" customHeight="1" x14ac:dyDescent="0.25">
      <c r="A12" s="58" t="s">
        <v>91</v>
      </c>
      <c r="B12" s="163" t="s">
        <v>92</v>
      </c>
      <c r="C12" s="163"/>
      <c r="D12" s="163"/>
      <c r="E12" s="59" t="s">
        <v>93</v>
      </c>
      <c r="F12" s="50" t="s">
        <v>94</v>
      </c>
      <c r="G12" s="47" t="s">
        <v>95</v>
      </c>
    </row>
    <row r="13" spans="1:8" ht="64.5" customHeight="1" x14ac:dyDescent="0.25">
      <c r="A13" s="58" t="s">
        <v>96</v>
      </c>
      <c r="B13" s="163" t="s">
        <v>97</v>
      </c>
      <c r="C13" s="163"/>
      <c r="D13" s="163"/>
      <c r="E13" s="59" t="s">
        <v>93</v>
      </c>
      <c r="F13" s="50" t="s">
        <v>98</v>
      </c>
      <c r="G13" s="47" t="s">
        <v>99</v>
      </c>
    </row>
    <row r="14" spans="1:8" ht="26.25" customHeight="1" x14ac:dyDescent="0.25">
      <c r="A14" s="58" t="s">
        <v>100</v>
      </c>
      <c r="B14" s="163" t="s">
        <v>101</v>
      </c>
      <c r="C14" s="163"/>
      <c r="D14" s="163"/>
      <c r="E14" s="59" t="s">
        <v>93</v>
      </c>
      <c r="F14" s="50" t="s">
        <v>102</v>
      </c>
      <c r="G14" s="47" t="s">
        <v>103</v>
      </c>
    </row>
    <row r="15" spans="1:8" ht="26.25" customHeight="1" x14ac:dyDescent="0.25">
      <c r="A15" s="60">
        <v>2</v>
      </c>
      <c r="B15" s="175" t="s">
        <v>104</v>
      </c>
      <c r="C15" s="175"/>
      <c r="D15" s="175"/>
      <c r="E15" s="175"/>
      <c r="F15" s="50" t="s">
        <v>105</v>
      </c>
      <c r="G15" s="47" t="s">
        <v>106</v>
      </c>
    </row>
    <row r="16" spans="1:8" x14ac:dyDescent="0.25">
      <c r="A16" s="35"/>
      <c r="B16" s="27"/>
      <c r="C16" s="27"/>
      <c r="D16" s="27"/>
      <c r="E16" s="61"/>
      <c r="F16" s="50" t="s">
        <v>107</v>
      </c>
      <c r="G16" s="47" t="s">
        <v>106</v>
      </c>
    </row>
    <row r="17" spans="1:7" x14ac:dyDescent="0.25">
      <c r="A17" s="35"/>
      <c r="B17" s="176" t="s">
        <v>108</v>
      </c>
      <c r="C17" s="176"/>
      <c r="D17" s="173" t="s">
        <v>109</v>
      </c>
      <c r="E17" s="173"/>
      <c r="F17" s="50" t="s">
        <v>110</v>
      </c>
      <c r="G17" s="47" t="s">
        <v>111</v>
      </c>
    </row>
    <row r="18" spans="1:7" ht="18" customHeight="1" x14ac:dyDescent="0.25">
      <c r="A18" s="35"/>
      <c r="B18" s="27"/>
      <c r="C18" s="62" t="s">
        <v>112</v>
      </c>
      <c r="D18" s="27"/>
      <c r="E18" s="61"/>
      <c r="F18" s="50" t="s">
        <v>113</v>
      </c>
    </row>
    <row r="19" spans="1:7" ht="19.5" customHeight="1" x14ac:dyDescent="0.25">
      <c r="A19" s="63" t="s">
        <v>114</v>
      </c>
      <c r="B19" s="64" t="str">
        <f>calculation!O4</f>
        <v>BHANU GUPTA</v>
      </c>
      <c r="C19" s="177" t="s">
        <v>115</v>
      </c>
      <c r="D19" s="177"/>
      <c r="E19" s="177"/>
      <c r="F19" s="50" t="s">
        <v>116</v>
      </c>
    </row>
    <row r="20" spans="1:7" ht="15" customHeight="1" x14ac:dyDescent="0.25">
      <c r="A20" s="63"/>
      <c r="B20" s="178" t="s">
        <v>117</v>
      </c>
      <c r="C20" s="178"/>
      <c r="D20" s="178"/>
      <c r="E20" s="178"/>
      <c r="F20" s="50" t="s">
        <v>118</v>
      </c>
    </row>
    <row r="21" spans="1:7" ht="15.75" customHeight="1" x14ac:dyDescent="0.25">
      <c r="A21" s="35"/>
      <c r="B21" s="65" t="s">
        <v>119</v>
      </c>
      <c r="C21" s="66"/>
      <c r="D21" s="67" t="s">
        <v>120</v>
      </c>
      <c r="E21" s="68"/>
      <c r="F21" s="50" t="s">
        <v>121</v>
      </c>
    </row>
    <row r="22" spans="1:7" x14ac:dyDescent="0.25">
      <c r="A22" s="35"/>
      <c r="B22" s="69"/>
      <c r="C22" s="27"/>
      <c r="D22" s="27"/>
      <c r="E22" s="61"/>
      <c r="F22" s="50" t="s">
        <v>122</v>
      </c>
    </row>
    <row r="23" spans="1:7" x14ac:dyDescent="0.25">
      <c r="A23" s="35"/>
      <c r="B23" s="27"/>
      <c r="C23" s="27"/>
      <c r="D23" s="27"/>
      <c r="E23" s="61"/>
      <c r="F23" s="50" t="s">
        <v>123</v>
      </c>
    </row>
    <row r="24" spans="1:7" x14ac:dyDescent="0.25">
      <c r="A24" s="35" t="s">
        <v>124</v>
      </c>
      <c r="B24" s="70" t="str">
        <f>IF(+'___IT calc'!B58="","",+'___IT calc'!B58)</f>
        <v/>
      </c>
      <c r="C24" s="27"/>
      <c r="D24" s="173" t="s">
        <v>125</v>
      </c>
      <c r="E24" s="173"/>
      <c r="F24" s="50" t="s">
        <v>126</v>
      </c>
    </row>
    <row r="25" spans="1:7" x14ac:dyDescent="0.25">
      <c r="A25" s="35" t="s">
        <v>127</v>
      </c>
      <c r="B25" s="37" t="str">
        <f>IF(+'___Gr_ salary'!M43="","",+'___Gr_ salary'!M43)</f>
        <v/>
      </c>
      <c r="C25" s="27"/>
      <c r="D25" s="174" t="s">
        <v>128</v>
      </c>
      <c r="E25" s="174"/>
      <c r="F25" s="50" t="s">
        <v>129</v>
      </c>
    </row>
    <row r="26" spans="1:7" x14ac:dyDescent="0.25">
      <c r="A26" s="38"/>
      <c r="B26" s="39"/>
      <c r="C26" s="39"/>
      <c r="D26" s="39"/>
      <c r="E26" s="40"/>
      <c r="F26" s="50" t="s">
        <v>130</v>
      </c>
    </row>
    <row r="27" spans="1:7" x14ac:dyDescent="0.25">
      <c r="F27" s="50" t="s">
        <v>131</v>
      </c>
    </row>
    <row r="28" spans="1:7" x14ac:dyDescent="0.25">
      <c r="B28" s="41"/>
      <c r="C28" s="41"/>
      <c r="D28" s="41"/>
      <c r="E28" s="41"/>
      <c r="F28" s="50" t="s">
        <v>132</v>
      </c>
    </row>
    <row r="29" spans="1:7" x14ac:dyDescent="0.25">
      <c r="F29" s="50" t="s">
        <v>133</v>
      </c>
    </row>
    <row r="30" spans="1:7" x14ac:dyDescent="0.25">
      <c r="F30" s="50" t="s">
        <v>134</v>
      </c>
    </row>
    <row r="31" spans="1:7" x14ac:dyDescent="0.25">
      <c r="F31" s="50" t="s">
        <v>135</v>
      </c>
    </row>
    <row r="32" spans="1:7" x14ac:dyDescent="0.25">
      <c r="F32" s="50" t="s">
        <v>136</v>
      </c>
    </row>
    <row r="33" spans="6:6" x14ac:dyDescent="0.25">
      <c r="F33" s="50" t="s">
        <v>137</v>
      </c>
    </row>
    <row r="34" spans="6:6" x14ac:dyDescent="0.25">
      <c r="F34" s="50" t="s">
        <v>138</v>
      </c>
    </row>
    <row r="35" spans="6:6" x14ac:dyDescent="0.25">
      <c r="F35" s="50" t="s">
        <v>139</v>
      </c>
    </row>
  </sheetData>
  <sheetProtection algorithmName="SHA-512" hashValue="5e2OroX+8n8Hxkphl+3VwL7xcp7fUPkxUl2L9jkRJiWz5+87o0nfMpLZSNbu57SVXNStCeznmtQJzha6QGDvKQ==" saltValue="n/um0TjctBUsZ9dEtVfEmw==" spinCount="100000" sheet="1" objects="1" scenarios="1"/>
  <mergeCells count="20">
    <mergeCell ref="A1:E1"/>
    <mergeCell ref="A2:E2"/>
    <mergeCell ref="A4:E4"/>
    <mergeCell ref="A5:E5"/>
    <mergeCell ref="B10:E10"/>
    <mergeCell ref="B13:D13"/>
    <mergeCell ref="B6:E6"/>
    <mergeCell ref="C7:E7"/>
    <mergeCell ref="C8:E8"/>
    <mergeCell ref="C9:E9"/>
    <mergeCell ref="B11:D11"/>
    <mergeCell ref="B12:D12"/>
    <mergeCell ref="D24:E24"/>
    <mergeCell ref="D25:E25"/>
    <mergeCell ref="B14:D14"/>
    <mergeCell ref="B15:E15"/>
    <mergeCell ref="B17:C17"/>
    <mergeCell ref="D17:E17"/>
    <mergeCell ref="C19:E19"/>
    <mergeCell ref="B20:E20"/>
  </mergeCells>
  <phoneticPr fontId="24" type="noConversion"/>
  <hyperlinks>
    <hyperlink ref="A1" r:id="rId1" xr:uid="{00000000-0004-0000-0400-000000000000}"/>
  </hyperlinks>
  <pageMargins left="0.78749999999999998" right="0.78749999999999998" top="1.575" bottom="1.0249999999999999" header="0.78749999999999998" footer="0.78749999999999998"/>
  <pageSetup paperSize="9" scale="95" orientation="portrait" horizontalDpi="300" verticalDpi="300" r:id="rId2"/>
  <headerFooter alignWithMargins="0">
    <oddHeader>&amp;C&amp;A</oddHeader>
    <oddFooter>&amp;CDownload Free from :www.simpletaxindia.net</oddFooter>
  </headerFooter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11.5546875" defaultRowHeight="13.2" x14ac:dyDescent="0.25"/>
  <sheetData/>
  <phoneticPr fontId="24" type="noConversion"/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 alignWithMargins="0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11.5546875" defaultRowHeight="13.2" x14ac:dyDescent="0.25"/>
  <sheetData/>
  <phoneticPr fontId="24" type="noConversion"/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 alignWithMargins="0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11.5546875" defaultRowHeight="13.2" x14ac:dyDescent="0.25"/>
  <sheetData/>
  <phoneticPr fontId="24" type="noConversion"/>
  <pageMargins left="0.78749999999999998" right="0.78749999999999998" top="1.0249999999999999" bottom="1.0249999999999999" header="0.78749999999999998" footer="0.78749999999999998"/>
  <pageSetup orientation="portrait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INSTRUCTIONS</vt:lpstr>
      <vt:lpstr>calculation</vt:lpstr>
      <vt:lpstr>Table A</vt:lpstr>
      <vt:lpstr>Annx I</vt:lpstr>
      <vt:lpstr>Form 10E</vt:lpstr>
      <vt:lpstr>___relief BACK</vt:lpstr>
      <vt:lpstr>___Gr_ salary</vt:lpstr>
      <vt:lpstr>___IT calc</vt:lpstr>
      <vt:lpstr>'Annx I'!Print_Area</vt:lpstr>
      <vt:lpstr>calculation!Print_Area</vt:lpstr>
      <vt:lpstr>'Form 10E'!Print_Area</vt:lpstr>
      <vt:lpstr>'Table 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 CAO</dc:creator>
  <cp:lastModifiedBy>rajan gupta</cp:lastModifiedBy>
  <cp:lastPrinted>2022-12-11T03:32:31Z</cp:lastPrinted>
  <dcterms:created xsi:type="dcterms:W3CDTF">2013-02-13T07:03:13Z</dcterms:created>
  <dcterms:modified xsi:type="dcterms:W3CDTF">2022-12-11T04:08:28Z</dcterms:modified>
</cp:coreProperties>
</file>